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30a0aacc0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98b2c7c1f2e4449"/>
    <x:sheet xmlns:r="http://schemas.openxmlformats.org/officeDocument/2006/relationships" name="Evidence Ledger" sheetId="2" r:id="R9aa932d426b54b87"/>
    <x:sheet xmlns:r="http://schemas.openxmlformats.org/officeDocument/2006/relationships" name="Assumptions" sheetId="3" r:id="Raa030674a778453f"/>
    <x:sheet xmlns:r="http://schemas.openxmlformats.org/officeDocument/2006/relationships" name="Revenue Model" sheetId="4" r:id="R0a8d45f79a56402a"/>
    <x:sheet xmlns:r="http://schemas.openxmlformats.org/officeDocument/2006/relationships" name="Investor Outputs" sheetId="5" r:id="Rba3b0fb9cba842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;[Red](0.0%);-"/>
    <x:numFmt numFmtId="201" formatCode="0.0,,&quot;M&quot;;[Red](0.0,,&quot;M&quot;);-"/>
    <x:numFmt numFmtId="202" formatCode="#,##0;[Red](#,##0);-"/>
    <x:numFmt numFmtId="203" formatCode="mmm:yy"/>
    <x:numFmt numFmtId="204" formatCode="0.0"/>
    <x:numFmt numFmtId="205" formatCode="₩#,##0;[Red](₩#,##0);-"/>
  </x:numFmts>
  <x:fonts count="15">
    <x:font>
      <x:sz val="11"/>
      <x:name val="Carlito"/>
    </x:font>
    <x:font>
      <x:sz val="10"/>
      <x:color rgb="FF18233C"/>
      <x:name val="Aptos"/>
    </x:font>
    <x:font>
      <x:b/>
      <x:sz val="22"/>
      <x:color rgb="FF071B49"/>
      <x:name val="Aptos"/>
    </x:font>
    <x:font>
      <x:i/>
      <x:sz val="10"/>
      <x:color rgb="FF7B86A5"/>
      <x:name val="Aptos"/>
    </x:font>
    <x:font>
      <x:b/>
      <x:sz val="12"/>
      <x:color rgb="FF071B49"/>
      <x:name val="Aptos"/>
    </x:font>
    <x:font>
      <x:b/>
      <x:sz val="11"/>
      <x:color rgb="FFFFFFFF"/>
      <x:name val="Aptos"/>
    </x:font>
    <x:font>
      <x:b/>
      <x:sz val="16"/>
      <x:color rgb="FFFFFFFF"/>
      <x:name val="Aptos"/>
    </x:font>
    <x:font>
      <x:b/>
      <x:sz val="11"/>
      <x:color rgb="FF071B49"/>
      <x:name val="Aptos"/>
    </x:font>
    <x:font>
      <x:b/>
      <x:sz val="10"/>
      <x:color rgb="FFFFFFFF"/>
      <x:name val="Aptos"/>
    </x:font>
    <x:font>
      <x:b/>
      <x:sz val="9"/>
      <x:color rgb="FFFFFFFF"/>
      <x:name val="Aptos"/>
    </x:font>
    <x:font>
      <x:sz val="7"/>
      <x:color rgb="FFD8DEEA"/>
      <x:name val="Aptos"/>
    </x:font>
    <x:font>
      <x:b/>
      <x:sz val="9"/>
      <x:color rgb="FF5630B9"/>
      <x:name val="Aptos"/>
    </x:font>
    <x:font>
      <x:sz val="9"/>
      <x:color rgb="FF18233C"/>
      <x:name val="Aptos"/>
    </x:font>
    <x:font>
      <x:b/>
      <x:sz val="10"/>
      <x:color rgb="FF071B49"/>
      <x:name val="Aptos"/>
    </x:font>
    <x:font>
      <x:b/>
      <x:sz val="15"/>
      <x:color rgb="FF5630B9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4F2FF"/>
      </x:patternFill>
    </x:fill>
    <x:fill>
      <x:patternFill patternType="solid">
        <x:fgColor rgb="FF071B49"/>
      </x:patternFill>
    </x:fill>
    <x:fill>
      <x:patternFill patternType="solid">
        <x:fgColor rgb="FF5630B9"/>
      </x:patternFill>
    </x:fill>
    <x:fill>
      <x:patternFill patternType="solid">
        <x:fgColor rgb="FFEAF2FF"/>
      </x:patternFill>
    </x:fill>
    <x:fill>
      <x:patternFill patternType="solid">
        <x:fgColor rgb="FFFFF1CC"/>
      </x:patternFill>
    </x:fill>
  </x:fills>
  <x:borders count="11">
    <x:border/>
    <x:border>
      <x:left style="thin">
        <x:color rgb="FFD8DEEA"/>
      </x:left>
      <x:right style="thin">
        <x:color rgb="FFD8DEEA"/>
      </x:right>
      <x:top style="thin">
        <x:color rgb="FFD8DEEA"/>
      </x:top>
      <x:bottom style="thin">
        <x:color rgb="FFD8DEEA"/>
      </x:bottom>
    </x:border>
    <x:border>
      <x:top style="medium">
        <x:color rgb="FF071B49"/>
      </x:top>
    </x:border>
    <x:border>
      <x:left style="medium">
        <x:color rgb="FFA89DFF"/>
      </x:left>
      <x:top style="medium">
        <x:color rgb="FFA89DFF"/>
      </x:top>
    </x:border>
    <x:border>
      <x:right style="medium">
        <x:color rgb="FFA89DFF"/>
      </x:right>
      <x:top style="medium">
        <x:color rgb="FFA89DFF"/>
      </x:top>
    </x:border>
    <x:border>
      <x:left style="medium">
        <x:color rgb="FFA89DFF"/>
      </x:left>
      <x:bottom style="medium">
        <x:color rgb="FFA89DFF"/>
      </x:bottom>
    </x:border>
    <x:border>
      <x:right style="medium">
        <x:color rgb="FFA89DFF"/>
      </x:right>
      <x:bottom style="medium">
        <x:color rgb="FFA89DFF"/>
      </x:bottom>
    </x:border>
    <x:border>
      <x:left style="medium">
        <x:color rgb="FFE0A000"/>
      </x:left>
      <x:top style="medium">
        <x:color rgb="FFE0A000"/>
      </x:top>
    </x:border>
    <x:border>
      <x:right style="medium">
        <x:color rgb="FFE0A000"/>
      </x:right>
      <x:top style="medium">
        <x:color rgb="FFE0A000"/>
      </x:top>
    </x:border>
    <x:border>
      <x:left style="medium">
        <x:color rgb="FFE0A000"/>
      </x:left>
      <x:bottom style="medium">
        <x:color rgb="FFE0A000"/>
      </x:bottom>
    </x:border>
    <x:border>
      <x:right style="medium">
        <x:color rgb="FFE0A000"/>
      </x:right>
      <x:bottom style="medium">
        <x:color rgb="FFE0A000"/>
      </x:bottom>
    </x:border>
  </x:borders>
  <x:cellStyleXfs count="1">
    <x:xf numFmtId="0" fontId="0" fillId="0" borderId="0"/>
  </x:cellStyleXfs>
  <x:cellXfs count="1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horizontal="center" vertical="top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top" wrapText="1"/>
    </x:xf>
    <x:xf numFmtId="201" fontId="1" fillId="5" borderId="1" xfId="0" applyNumberFormat="1" applyFont="1" applyFill="1" applyBorder="1" applyAlignment="1">
      <x:alignment vertical="top" wrapText="1"/>
    </x:xf>
    <x:xf numFmtId="202" fontId="1" fillId="5" borderId="1" xfId="0" applyNumberFormat="1" applyFont="1" applyFill="1" applyBorder="1" applyAlignment="1">
      <x:alignment vertical="top"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3" fontId="9" fillId="3" borderId="1" xfId="0" applyNumberFormat="1" applyFont="1" applyFill="1" applyBorder="1"/>
    <x:xf numFmtId="203" fontId="9" fillId="3" borderId="1" xfId="0" applyNumberFormat="1" applyFont="1" applyFill="1" applyBorder="1" applyAlignment="1">
      <x:alignment horizontal="center"/>
    </x:xf>
    <x:xf numFmtId="203" fontId="9" fillId="3" borderId="1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204" fontId="1" fillId="5" borderId="1" xfId="0" applyNumberFormat="1" applyFont="1" applyFill="1" applyBorder="1"/>
    <x:xf numFmtId="204" fontId="1" fillId="5" borderId="1" xfId="0" applyNumberFormat="1" applyFont="1" applyFill="1" applyBorder="1" applyAlignment="1">
      <x:alignment horizontal="right"/>
    </x:xf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204" fontId="11" fillId="2" borderId="1" xfId="0" applyNumberFormat="1" applyFont="1" applyFill="1" applyBorder="1"/>
    <x:xf numFmtId="200" fontId="1" fillId="5" borderId="1" xfId="0" applyNumberFormat="1" applyFont="1" applyFill="1" applyBorder="1"/>
    <x:xf numFmtId="200" fontId="1" fillId="5" borderId="1" xfId="0" applyNumberFormat="1" applyFont="1" applyFill="1" applyBorder="1" applyAlignment="1">
      <x:alignment horizontal="right"/>
    </x:xf>
    <x:xf numFmtId="200" fontId="11" fillId="2" borderId="1" xfId="0" applyNumberFormat="1" applyFont="1" applyFill="1" applyBorder="1"/>
    <x:xf numFmtId="205" fontId="1" fillId="5" borderId="1" xfId="0" applyNumberFormat="1" applyFont="1" applyFill="1" applyBorder="1"/>
    <x:xf numFmtId="205" fontId="1" fillId="5" borderId="1" xfId="0" applyNumberFormat="1" applyFont="1" applyFill="1" applyBorder="1" applyAlignment="1">
      <x:alignment horizontal="right"/>
    </x:xf>
    <x:xf numFmtId="205" fontId="11" fillId="2" borderId="1" xfId="0" applyNumberFormat="1" applyFont="1" applyFill="1" applyBorder="1"/>
    <x:xf numFmtId="202" fontId="1" fillId="5" borderId="1" xfId="0" applyNumberFormat="1" applyFont="1" applyFill="1" applyBorder="1"/>
    <x:xf numFmtId="202" fontId="1" fillId="5" borderId="1" xfId="0" applyNumberFormat="1" applyFont="1" applyFill="1" applyBorder="1" applyAlignment="1">
      <x:alignment horizontal="right"/>
    </x:xf>
    <x:xf numFmtId="202" fontId="11" fillId="2" borderId="1" xfId="0" applyNumberFormat="1" applyFont="1" applyFill="1" applyBorder="1"/>
    <x:xf numFmtId="0" fontId="1" fillId="0" borderId="2" xfId="0" applyNumberFormat="1" applyFont="1" applyFill="1" applyBorder="1"/>
    <x:xf numFmtId="0" fontId="12" fillId="0" borderId="2" xfId="0" applyNumberFormat="1" applyFont="1" applyFill="1" applyBorder="1"/>
    <x:xf numFmtId="0" fontId="12" fillId="0" borderId="0" xfId="0" applyNumberFormat="1" applyFont="1" applyFill="1" applyBorder="1"/>
    <x:xf numFmtId="204" fontId="1" fillId="0" borderId="2" xfId="0" applyNumberFormat="1" applyFont="1" applyFill="1" applyBorder="1"/>
    <x:xf numFmtId="204" fontId="1" fillId="0" borderId="0" xfId="0" applyNumberFormat="1" applyFont="1" applyFill="1" applyBorder="1"/>
    <x:xf numFmtId="201" fontId="1" fillId="0" borderId="2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4" fontId="1" fillId="0" borderId="1" xfId="0" applyNumberFormat="1" applyFont="1" applyFill="1" applyBorder="1"/>
    <x:xf numFmtId="201" fontId="1" fillId="0" borderId="1" xfId="0" applyNumberFormat="1" applyFont="1" applyFill="1" applyBorder="1"/>
    <x:xf numFmtId="200" fontId="1" fillId="0" borderId="1" xfId="0" applyNumberFormat="1" applyFont="1" applyFill="1" applyBorder="1"/>
    <x:xf numFmtId="201" fontId="1" fillId="2" borderId="1" xfId="0" applyNumberFormat="1" applyFont="1" applyFill="1" applyBorder="1"/>
    <x:xf numFmtId="201" fontId="11" fillId="2" borderId="1" xfId="0" applyNumberFormat="1" applyFont="1" applyFill="1" applyBorder="1"/>
    <x:xf numFmtId="200" fontId="1" fillId="2" borderId="1" xfId="0" applyNumberFormat="1" applyFont="1" applyFill="1" applyBorder="1"/>
    <x:xf numFmtId="204" fontId="1" fillId="2" borderId="1" xfId="0" applyNumberFormat="1" applyFont="1" applyFill="1" applyBorder="1"/>
    <x:xf numFmtId="0" fontId="8" fillId="3" borderId="0" xfId="0" applyNumberFormat="1" applyFont="1" applyFill="1" applyBorder="1"/>
    <x:xf numFmtId="0" fontId="5" fillId="3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3" xfId="0" applyNumberFormat="1" applyFont="1" applyFill="1" applyBorder="1"/>
    <x:xf numFmtId="0" fontId="13" fillId="2" borderId="4" xfId="0" applyNumberFormat="1" applyFont="1" applyFill="1" applyBorder="1"/>
    <x:xf numFmtId="0" fontId="13" fillId="2" borderId="5" xfId="0" applyNumberFormat="1" applyFont="1" applyFill="1" applyBorder="1"/>
    <x:xf numFmtId="0" fontId="13" fillId="2" borderId="6" xfId="0" applyNumberFormat="1" applyFont="1" applyFill="1" applyBorder="1"/>
    <x:xf numFmtId="0" fontId="13" fillId="2" borderId="3" xfId="0" applyNumberFormat="1" applyFont="1" applyFill="1" applyBorder="1" applyAlignment="1">
      <x:alignment horizontal="center"/>
    </x:xf>
    <x:xf numFmtId="0" fontId="13" fillId="2" borderId="4" xfId="0" applyNumberFormat="1" applyFont="1" applyFill="1" applyBorder="1" applyAlignment="1">
      <x:alignment horizontal="center"/>
    </x:xf>
    <x:xf numFmtId="0" fontId="13" fillId="2" borderId="5" xfId="0" applyNumberFormat="1" applyFont="1" applyFill="1" applyBorder="1" applyAlignment="1">
      <x:alignment horizontal="center"/>
    </x:xf>
    <x:xf numFmtId="0" fontId="13" fillId="2" borderId="6" xfId="0" applyNumberFormat="1" applyFont="1" applyFill="1" applyBorder="1" applyAlignment="1">
      <x:alignment horizontal="center"/>
    </x:xf>
    <x:xf numFmtId="0" fontId="13" fillId="2" borderId="3" xfId="0" applyNumberFormat="1" applyFont="1" applyFill="1" applyBorder="1" applyAlignment="1">
      <x:alignment horizontal="center" vertical="center"/>
    </x:xf>
    <x:xf numFmtId="0" fontId="13" fillId="2" borderId="4" xfId="0" applyNumberFormat="1" applyFont="1" applyFill="1" applyBorder="1" applyAlignment="1">
      <x:alignment horizontal="center" vertical="center"/>
    </x:xf>
    <x:xf numFmtId="0" fontId="13" fillId="2" borderId="5" xfId="0" applyNumberFormat="1" applyFont="1" applyFill="1" applyBorder="1" applyAlignment="1">
      <x:alignment horizontal="center" vertical="center"/>
    </x:xf>
    <x:xf numFmtId="0" fontId="13" fillId="2" borderId="6" xfId="0" applyNumberFormat="1" applyFont="1" applyFill="1" applyBorder="1" applyAlignment="1">
      <x:alignment horizontal="center" vertical="center"/>
    </x:xf>
    <x:xf numFmtId="0" fontId="14" fillId="2" borderId="5" xfId="0" applyNumberFormat="1" applyFont="1" applyFill="1" applyBorder="1" applyAlignment="1">
      <x:alignment horizontal="center" vertical="center"/>
    </x:xf>
    <x:xf numFmtId="201" fontId="14" fillId="2" borderId="5" xfId="0" applyNumberFormat="1" applyFont="1" applyFill="1" applyBorder="1" applyAlignment="1">
      <x:alignment horizontal="center" vertical="center"/>
    </x:xf>
    <x:xf numFmtId="200" fontId="14" fillId="2" borderId="5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/>
    <x:xf numFmtId="0" fontId="13" fillId="6" borderId="0" xfId="0" applyNumberFormat="1" applyFont="1" applyFill="1" applyBorder="1"/>
    <x:xf numFmtId="0" fontId="13" fillId="6" borderId="7" xfId="0" applyNumberFormat="1" applyFont="1" applyFill="1" applyBorder="1"/>
    <x:xf numFmtId="0" fontId="13" fillId="6" borderId="8" xfId="0" applyNumberFormat="1" applyFont="1" applyFill="1" applyBorder="1"/>
    <x:xf numFmtId="0" fontId="13" fillId="6" borderId="9" xfId="0" applyNumberFormat="1" applyFont="1" applyFill="1" applyBorder="1"/>
    <x:xf numFmtId="0" fontId="13" fillId="6" borderId="10" xfId="0" applyNumberFormat="1" applyFont="1" applyFill="1" applyBorder="1"/>
    <x:xf numFmtId="0" fontId="13" fillId="6" borderId="7" xfId="0" applyNumberFormat="1" applyFont="1" applyFill="1" applyBorder="1" applyAlignment="1">
      <x:alignment horizontal="center"/>
    </x:xf>
    <x:xf numFmtId="0" fontId="13" fillId="6" borderId="8" xfId="0" applyNumberFormat="1" applyFont="1" applyFill="1" applyBorder="1" applyAlignment="1">
      <x:alignment horizontal="center"/>
    </x:xf>
    <x:xf numFmtId="0" fontId="13" fillId="6" borderId="9" xfId="0" applyNumberFormat="1" applyFont="1" applyFill="1" applyBorder="1" applyAlignment="1">
      <x:alignment horizontal="center"/>
    </x:xf>
    <x:xf numFmtId="0" fontId="13" fillId="6" borderId="10" xfId="0" applyNumberFormat="1" applyFont="1" applyFill="1" applyBorder="1" applyAlignment="1">
      <x:alignment horizontal="center"/>
    </x:xf>
    <x:xf numFmtId="0" fontId="13" fillId="6" borderId="7" xfId="0" applyNumberFormat="1" applyFont="1" applyFill="1" applyBorder="1" applyAlignment="1">
      <x:alignment horizontal="center" vertical="center"/>
    </x:xf>
    <x:xf numFmtId="0" fontId="13" fillId="6" borderId="8" xfId="0" applyNumberFormat="1" applyFont="1" applyFill="1" applyBorder="1" applyAlignment="1">
      <x:alignment horizontal="center" vertical="center"/>
    </x:xf>
    <x:xf numFmtId="0" fontId="13" fillId="6" borderId="9" xfId="0" applyNumberFormat="1" applyFont="1" applyFill="1" applyBorder="1" applyAlignment="1">
      <x:alignment horizontal="center" vertical="center"/>
    </x:xf>
    <x:xf numFmtId="0" fontId="13" fillId="6" borderId="10" xfId="0" applyNumberFormat="1" applyFont="1" applyFill="1" applyBorder="1" applyAlignment="1">
      <x:alignment horizontal="center" vertical="center"/>
    </x:xf>
    <x:xf numFmtId="0" fontId="14" fillId="6" borderId="9" xfId="0" applyNumberFormat="1" applyFont="1" applyFill="1" applyBorder="1" applyAlignment="1">
      <x:alignment horizontal="center" vertical="center"/>
    </x:xf>
    <x:xf numFmtId="201" fontId="14" fillId="6" borderId="9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1" fontId="1" fillId="2" borderId="1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  <x:xf numFmtId="0" fontId="13" fillId="0" borderId="1" xfId="0" applyNumberFormat="1" applyFont="1" applyFill="1" applyBorder="1" applyAlignment="1">
      <x:alignment vertical="top" wrapText="1"/>
    </x:xf>
    <x:xf numFmtId="0" fontId="13" fillId="2" borderId="1" xfId="0" applyNumberFormat="1" applyFont="1" applyFill="1" applyBorder="1" applyAlignment="1">
      <x:alignment vertical="top" wrapText="1"/>
    </x:xf>
    <x:xf numFmtId="201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7A4E00"/>
      </x:font>
      <x:fill>
        <x:patternFill patternType="solid">
          <x:bgColor rgb="FFFFF1CC"/>
        </x:patternFill>
      </x:fill>
    </x:dxf>
    <x:dxf>
      <x:font>
        <x:b/>
        <x:color rgb="FF1F6A45"/>
      </x:font>
      <x:fill>
        <x:patternFill patternType="solid">
          <x:bgColor rgb="FFDDF3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b24f79b7345d1" /><Relationship Type="http://schemas.openxmlformats.org/officeDocument/2006/relationships/theme" Target="/xl/theme/theme1.xml" Id="R29fc31ae4fd349bb" /><Relationship Type="http://schemas.openxmlformats.org/officeDocument/2006/relationships/sharedStrings" Target="/xl/sharedStrings.xml" Id="R3baad6180a7c4571" /><Relationship Type="http://schemas.openxmlformats.org/officeDocument/2006/relationships/worksheet" Target="/xl/worksheets/sheet1.xml" Id="R898b2c7c1f2e4449" /><Relationship Type="http://schemas.openxmlformats.org/officeDocument/2006/relationships/worksheet" Target="/xl/worksheets/sheet2.xml" Id="R9aa932d426b54b87" /><Relationship Type="http://schemas.openxmlformats.org/officeDocument/2006/relationships/worksheet" Target="/xl/worksheets/sheet3.xml" Id="Raa030674a778453f" /><Relationship Type="http://schemas.openxmlformats.org/officeDocument/2006/relationships/worksheet" Target="/xl/worksheets/sheet4.xml" Id="R0a8d45f79a56402a" /><Relationship Type="http://schemas.openxmlformats.org/officeDocument/2006/relationships/worksheet" Target="/xl/worksheets/sheet5.xml" Id="Rba3b0fb9cba842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cb1033ff62b481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ptos"/>
                <a:ea typeface="Aptos"/>
                <a:cs typeface="Aptos"/>
              </a:rPr>
              <a:t>Monthly Revenue by Scenario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ptos"/>
              <a:ea typeface="Aptos"/>
              <a:cs typeface="Aptos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Downside</c:v>
          </c:tx>
          <c:spPr>
            <a:ln xmlns:a="http://schemas.openxmlformats.org/drawingml/2006/main" w="19050">
              <a:solidFill>
                <a:srgbClr val="7B86A5"/>
              </a:solidFill>
            </a:ln>
          </c:spPr>
          <c:marker>
            <c:symbol val="none"/>
          </c:marker>
          <c:cat>
            <c:strRef>
              <c:f>'Investor Outputs'!$C$25:$C$60</c:f>
              <c:strCache>
                <c:ptCount val="0"/>
              </c:strCache>
            </c:strRef>
          </c:cat>
          <c:val>
            <c:numRef>
              <c:f>'Investor Outputs'!$D$25:$D$60</c:f>
              <c:numCache>
                <c:formatCode>0.0,,"M";[Red](0.0,,"M");-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Base</c:v>
          </c:tx>
          <c:spPr>
            <a:ln xmlns:a="http://schemas.openxmlformats.org/drawingml/2006/main" w="28575">
              <a:solidFill>
                <a:srgbClr val="5630B9"/>
              </a:solidFill>
            </a:ln>
          </c:spPr>
          <c:marker>
            <c:symbol val="none"/>
          </c:marker>
          <c:cat>
            <c:strRef>
              <c:f>'Investor Outputs'!$C$25:$C$60</c:f>
              <c:strCache>
                <c:ptCount val="0"/>
              </c:strCache>
            </c:strRef>
          </c:cat>
          <c:val>
            <c:numRef>
              <c:f>'Investor Outputs'!$E$25:$E$60</c:f>
              <c:numCache>
                <c:formatCode>0.0,,"M";[Red](0.0,,"M");-</c:formatCode>
                <c:ptCount val="0"/>
              </c:numCache>
            </c:numRef>
          </c:val>
          <c:smooth val="0"/>
        </c:ser>
        <c:ser>
          <c:idx val="2"/>
          <c:order val="2"/>
          <c:tx>
            <c:v>Upside</c:v>
          </c:tx>
          <c:spPr>
            <a:ln xmlns:a="http://schemas.openxmlformats.org/drawingml/2006/main" w="19050">
              <a:solidFill>
                <a:srgbClr val="A89DFF"/>
              </a:solidFill>
            </a:ln>
          </c:spPr>
          <c:marker>
            <c:symbol val="none"/>
          </c:marker>
          <c:cat>
            <c:strRef>
              <c:f>'Investor Outputs'!$C$25:$C$60</c:f>
              <c:strCache>
                <c:ptCount val="0"/>
              </c:strCache>
            </c:strRef>
          </c:cat>
          <c:val>
            <c:numRef>
              <c:f>'Investor Outputs'!$F$25:$F$60</c:f>
              <c:numCache>
                <c:formatCode>0.0,,"M";[Red](0.0,,"M");-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₩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ptos"/>
              <a:ea typeface="Aptos"/>
              <a:cs typeface="Aptos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23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b1033ff62b48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2dd713882c6b40e6" /></Relationships>
</file>

<file path=xl/worksheets/sheet1.xml><?xml version="1.0" encoding="utf-8"?>
<x:worksheet xmlns:x="http://schemas.openxmlformats.org/spreadsheetml/2006/main">
  <x:sheetPr>
    <x:tabColor rgb="FF071B49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3" max="3" width="11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"/>
      <x:c r="C2" s="4" t="str">
        <x:v>IR Evidence Ledger + Revenue Simulation</x:v>
      </x:c>
      <x:c r="D2" s="5"/>
      <x:c r="E2" s="5"/>
      <x:c r="F2" s="5"/>
      <x:c r="G2" s="5"/>
      <x:c r="H2" s="5"/>
      <x:c r="I2" s="5"/>
      <x:c r="J2" s="5"/>
    </x:row>
    <x:row r="3">
      <x:c r="A3" s="1"/>
      <x:c r="B3" s="1"/>
      <x:c r="C3" s="6" t="str">
        <x:v>Seed stage AI and deep-tech investor communication toolkit | 2026-09-05</x:v>
      </x:c>
      <x:c r="D3" s="5"/>
      <x:c r="E3" s="5"/>
      <x:c r="F3" s="5"/>
      <x:c r="G3" s="5"/>
      <x:c r="H3" s="5"/>
      <x:c r="I3" s="5"/>
      <x:c r="J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8" customHeight="1">
      <x:c r="A5" s="1"/>
      <x:c r="B5" s="1"/>
      <x:c r="C5" s="10" t="str">
        <x:v>좋은 IR Deck은 회사소개서가 아니라, 투자자가 투자 논지를 다시 계산할 수 있게 만드는 증거의 순서입니다.</x:v>
      </x:c>
      <x:c r="D5" s="10"/>
      <x:c r="E5" s="10"/>
      <x:c r="F5" s="10"/>
      <x:c r="G5" s="10"/>
      <x:c r="H5" s="10"/>
      <x:c r="I5" s="10"/>
      <x:c r="J5" s="10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1"/>
      <x:c r="C8" s="13" t="str">
        <x:v>사용 순서</x:v>
      </x:c>
      <x:c r="D8" s="13"/>
      <x:c r="E8" s="13"/>
      <x:c r="F8" s="13"/>
      <x:c r="G8" s="13"/>
      <x:c r="H8" s="13"/>
      <x:c r="I8" s="13"/>
      <x:c r="J8" s="13"/>
    </x:row>
    <x:row r="9" ht="40" customHeight="1">
      <x:c r="A9" s="1"/>
      <x:c r="B9" s="1"/>
      <x:c r="C9" s="20" t="str">
        <x:v>01</x:v>
      </x:c>
      <x:c r="D9" s="21" t="str">
        <x:v>Evidence Ledger</x:v>
      </x:c>
      <x:c r="E9" s="16" t="str">
        <x:v>슬라이드의 주장, 근거, 방법, 기간, 출처, 담당자, 검증 상태를 기록합니다.</x:v>
      </x:c>
      <x:c r="F9" s="16" t="str"/>
      <x:c r="G9" s="16" t="str"/>
      <x:c r="H9" s="16" t="str"/>
      <x:c r="I9" s="16" t="str"/>
      <x:c r="J9" s="16" t="str"/>
    </x:row>
    <x:row r="10" ht="40" customHeight="1">
      <x:c r="A10" s="1"/>
      <x:c r="B10" s="1"/>
      <x:c r="C10" s="20" t="str">
        <x:v>02</x:v>
      </x:c>
      <x:c r="D10" s="21" t="str">
        <x:v>Assumptions</x:v>
      </x:c>
      <x:c r="E10" s="16" t="str">
        <x:v>Base, Downside, Upside의 월별 입력값을 실제 계약과 운영 데이터로 교체합니다.</x:v>
      </x:c>
      <x:c r="F10" s="16" t="str"/>
      <x:c r="G10" s="16" t="str"/>
      <x:c r="H10" s="16" t="str"/>
      <x:c r="I10" s="16" t="str"/>
      <x:c r="J10" s="16" t="str"/>
    </x:row>
    <x:row r="11" ht="40" customHeight="1">
      <x:c r="A11" s="1"/>
      <x:c r="B11" s="1"/>
      <x:c r="C11" s="20" t="str">
        <x:v>03</x:v>
      </x:c>
      <x:c r="D11" s="21" t="str">
        <x:v>Revenue Model</x:v>
      </x:c>
      <x:c r="E11" s="16" t="str">
        <x:v>고객 수, 매출, 변동원가, gross margin, burn, cash runway의 연결을 확인합니다.</x:v>
      </x:c>
      <x:c r="F11" s="16" t="str"/>
      <x:c r="G11" s="16" t="str"/>
      <x:c r="H11" s="16" t="str"/>
      <x:c r="I11" s="16" t="str"/>
      <x:c r="J11" s="16" t="str"/>
    </x:row>
    <x:row r="12" ht="40" customHeight="1">
      <x:c r="A12" s="1"/>
      <x:c r="B12" s="1"/>
      <x:c r="C12" s="20" t="str">
        <x:v>04</x:v>
      </x:c>
      <x:c r="D12" s="21" t="str">
        <x:v>Investor Outputs</x:v>
      </x:c>
      <x:c r="E12" s="16" t="str">
        <x:v>시나리오별 결과를 비교하고 IR Deck에 넣을 핵심 숫자를 선택합니다.</x:v>
      </x:c>
      <x:c r="F12" s="16" t="str"/>
      <x:c r="G12" s="16" t="str"/>
      <x:c r="H12" s="16" t="str"/>
      <x:c r="I12" s="16" t="str"/>
      <x:c r="J12" s="16" t="str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3" t="str">
        <x:v>색상 규칙</x:v>
      </x:c>
      <x:c r="D15" s="13"/>
      <x:c r="E15" s="13"/>
      <x:c r="F15" s="13"/>
      <x:c r="G15" s="13"/>
      <x:c r="H15" s="13"/>
      <x:c r="I15" s="13"/>
      <x:c r="J15" s="13"/>
    </x:row>
    <x:row r="16">
      <x:c r="A16" s="1"/>
      <x:c r="B16" s="1"/>
      <x:c r="C16" s="16" t="str">
        <x:v>직접 입력</x:v>
      </x:c>
      <x:c r="D16" s="22" t="str">
        <x:v>파란 셀</x:v>
      </x:c>
      <x:c r="E16" s="16" t="str">
        <x:v>회사의 실제 값 또는 검증할 가정</x:v>
      </x:c>
      <x:c r="F16" s="16" t="str"/>
      <x:c r="G16" s="16" t="str"/>
      <x:c r="H16" s="16" t="str"/>
      <x:c r="I16" s="16" t="str"/>
      <x:c r="J16" s="16" t="str"/>
    </x:row>
    <x:row r="17">
      <x:c r="A17" s="1"/>
      <x:c r="B17" s="1"/>
      <x:c r="C17" s="16" t="str">
        <x:v>계산 결과</x:v>
      </x:c>
      <x:c r="D17" s="23" t="str">
        <x:v>보라 셀</x:v>
      </x:c>
      <x:c r="E17" s="16" t="str">
        <x:v>수식으로 계산되므로 덮어쓰지 않음</x:v>
      </x:c>
      <x:c r="F17" s="16" t="str"/>
      <x:c r="G17" s="16" t="str"/>
      <x:c r="H17" s="16" t="str"/>
      <x:c r="I17" s="16" t="str"/>
      <x:c r="J17" s="16" t="str"/>
    </x:row>
    <x:row r="18">
      <x:c r="A18" s="1"/>
      <x:c r="B18" s="1"/>
      <x:c r="C18" s="16" t="str">
        <x:v>주의 필요</x:v>
      </x:c>
      <x:c r="D18" s="24" t="str">
        <x:v>노란·빨간 셀</x:v>
      </x:c>
      <x:c r="E18" s="16" t="str">
        <x:v>누락, 미검증, 현금 부족 등 검토 필요</x:v>
      </x:c>
      <x:c r="F18" s="16" t="str"/>
      <x:c r="G18" s="16" t="str"/>
      <x:c r="H18" s="16" t="str"/>
      <x:c r="I18" s="16" t="str"/>
      <x:c r="J18" s="16" t="str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3" t="str">
        <x:v>모델 범위와 주의사항</x:v>
      </x:c>
      <x:c r="D21" s="13"/>
      <x:c r="E21" s="13"/>
      <x:c r="F21" s="13"/>
      <x:c r="G21" s="13"/>
      <x:c r="H21" s="13"/>
      <x:c r="I21" s="13"/>
      <x:c r="J21" s="13"/>
    </x:row>
    <x:row r="22">
      <x:c r="A22" s="1"/>
      <x:c r="B22" s="1"/>
      <x:c r="C22" s="16" t="str">
        <x:v>범위</x:v>
      </x:c>
      <x:c r="D22" s="16" t="str">
        <x:v>36개월 B2B AI 모델: 기본 구독 + workflow + 기타 usage/outcome 매출</x:v>
      </x:c>
      <x:c r="E22" s="16" t="str"/>
      <x:c r="F22" s="16" t="str"/>
      <x:c r="G22" s="16" t="str"/>
      <x:c r="H22" s="16" t="str"/>
      <x:c r="I22" s="16" t="str"/>
      <x:c r="J22" s="16" t="str"/>
    </x:row>
    <x:row r="23">
      <x:c r="A23" s="1"/>
      <x:c r="B23" s="1"/>
      <x:c r="C23" s="16" t="str">
        <x:v>단위</x:v>
      </x:c>
      <x:c r="D23" s="16" t="str">
        <x:v>KRW, 월 기준. API 가격은 USD를 KRW/USD 환율로 환산</x:v>
      </x:c>
      <x:c r="E23" s="16" t="str"/>
      <x:c r="F23" s="16" t="str"/>
      <x:c r="G23" s="16" t="str"/>
      <x:c r="H23" s="16" t="str"/>
      <x:c r="I23" s="16" t="str"/>
      <x:c r="J23" s="16" t="str"/>
    </x:row>
    <x:row r="24">
      <x:c r="A24" s="1"/>
      <x:c r="B24" s="1"/>
      <x:c r="C24" s="16" t="str">
        <x:v>주의</x:v>
      </x:c>
      <x:c r="D24" s="16" t="str">
        <x:v>예시는 구조 설명용입니다. 회사의 계약, 원가, 현금자료로 모두 교체해야 합니다.</x:v>
      </x:c>
      <x:c r="E24" s="16" t="str"/>
      <x:c r="F24" s="16" t="str"/>
      <x:c r="G24" s="16" t="str"/>
      <x:c r="H24" s="16" t="str"/>
      <x:c r="I24" s="16" t="str"/>
      <x:c r="J24" s="16" t="str"/>
    </x:row>
    <x:row r="25">
      <x:c r="A25" s="1"/>
      <x:c r="B25" s="1"/>
      <x:c r="C25" s="16" t="str">
        <x:v>면책</x:v>
      </x:c>
      <x:c r="D25" s="16" t="str">
        <x:v>이 파일은 투자, 법률, 세무 자문이 아닙니다.</x:v>
      </x:c>
      <x:c r="E25" s="16" t="str"/>
      <x:c r="F25" s="16" t="str"/>
      <x:c r="G25" s="16" t="str"/>
      <x:c r="H25" s="16" t="str"/>
      <x:c r="I25" s="16" t="str"/>
      <x:c r="J25" s="16" t="str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3" t="str">
        <x:v>핵심 참고자료</x:v>
      </x:c>
      <x:c r="D28" s="13"/>
      <x:c r="E28" s="13"/>
      <x:c r="F28" s="13"/>
      <x:c r="G28" s="13"/>
      <x:c r="H28" s="13"/>
      <x:c r="I28" s="13"/>
      <x:c r="J28" s="13"/>
    </x:row>
    <x:row r="29">
      <x:c r="A29" s="1"/>
      <x:c r="B29" s="1"/>
      <x:c r="C29" s="16" t="str">
        <x:v>Sequoia</x:v>
      </x:c>
      <x:c r="D29" s="16" t="str">
        <x:v>IR 구조</x:v>
      </x:c>
      <x:c r="E29" s="16" t="str">
        <x:v>https://sequoiacap.com/article/writing-a-business-plan</x:v>
      </x:c>
      <x:c r="F29" s="16" t="str"/>
      <x:c r="G29" s="16" t="str"/>
      <x:c r="H29" s="16" t="str"/>
      <x:c r="I29" s="16" t="str"/>
      <x:c r="J29" s="16" t="str"/>
    </x:row>
    <x:row r="30">
      <x:c r="A30" s="1"/>
      <x:c r="B30" s="1"/>
      <x:c r="C30" s="16" t="str">
        <x:v>Y Combinator</x:v>
      </x:c>
      <x:c r="D30" s="16" t="str">
        <x:v>Pitching</x:v>
      </x:c>
      <x:c r="E30" s="16" t="str">
        <x:v>https://www.ycombinator.com/blog/practical-design-pitching</x:v>
      </x:c>
      <x:c r="F30" s="16" t="str"/>
      <x:c r="G30" s="16" t="str"/>
      <x:c r="H30" s="16" t="str"/>
      <x:c r="I30" s="16" t="str"/>
      <x:c r="J30" s="16" t="str"/>
    </x:row>
    <x:row r="31">
      <x:c r="A31" s="1"/>
      <x:c r="B31" s="1"/>
      <x:c r="C31" s="16" t="str">
        <x:v>a16z</x:v>
      </x:c>
      <x:c r="D31" s="16" t="str">
        <x:v>Bottom-up TAM</x:v>
      </x:c>
      <x:c r="E31" s="16" t="str">
        <x:v>https://a16z.com/16-more-startup-metrics/</x:v>
      </x:c>
      <x:c r="F31" s="16" t="str"/>
      <x:c r="G31" s="16" t="str"/>
      <x:c r="H31" s="16" t="str"/>
      <x:c r="I31" s="16" t="str"/>
      <x:c r="J31" s="16" t="str"/>
    </x:row>
    <x:row r="32">
      <x:c r="A32" s="1"/>
      <x:c r="B32" s="1"/>
      <x:c r="C32" s="16" t="str">
        <x:v>Bessemer</x:v>
      </x:c>
      <x:c r="D32" s="16" t="str">
        <x:v>Financial Hypothesis</x:v>
      </x:c>
      <x:c r="E32" s="16" t="str">
        <x:v>https://www.bvp.com/atlas/cfo-playbook-mastering-metrics-and-managing-boards-for-saas-finance-success</x:v>
      </x:c>
      <x:c r="F32" s="16" t="str"/>
      <x:c r="G32" s="16" t="str"/>
      <x:c r="H32" s="16" t="str"/>
      <x:c r="I32" s="16" t="str"/>
      <x:c r="J32" s="16" t="str"/>
    </x:row>
    <x:row r="33">
      <x:c r="A33" s="1"/>
      <x:c r="B33" s="1"/>
      <x:c r="C33" s="16" t="str">
        <x:v>Bessemer</x:v>
      </x:c>
      <x:c r="D33" s="16" t="str">
        <x:v>AI Pricing</x:v>
      </x:c>
      <x:c r="E33" s="16" t="str">
        <x:v>https://www.bvp.com/atlas/the-ai-pricing-and-monetization-playbook</x:v>
      </x:c>
      <x:c r="F33" s="16" t="str"/>
      <x:c r="G33" s="16" t="str"/>
      <x:c r="H33" s="16" t="str"/>
      <x:c r="I33" s="16" t="str"/>
      <x:c r="J33" s="16" t="str"/>
    </x:row>
    <x:row r="34">
      <x:c r="A34" s="1"/>
      <x:c r="B34" s="1"/>
      <x:c r="C34" s="16" t="str">
        <x:v>The Engine</x:v>
      </x:c>
      <x:c r="D34" s="16" t="str">
        <x:v>Deep-tech milestones</x:v>
      </x:c>
      <x:c r="E34" s="16" t="str">
        <x:v>https://engine.xyz/resources/fundamentals-concepts-product-development</x:v>
      </x:c>
      <x:c r="F34" s="16" t="str"/>
      <x:c r="G34" s="16" t="str"/>
      <x:c r="H34" s="16" t="str"/>
      <x:c r="I34" s="16" t="str"/>
      <x:c r="J34" s="16" t="str"/>
    </x:row>
  </x:sheetData>
  <x:mergeCells>
    <x:mergeCell ref="C2:J2"/>
    <x:mergeCell ref="C3:J3"/>
    <x:mergeCell ref="C5:J5"/>
    <x:mergeCell ref="C8:J8"/>
    <x:mergeCell ref="E9:J9"/>
    <x:mergeCell ref="E10:J10"/>
    <x:mergeCell ref="E11:J11"/>
    <x:mergeCell ref="E12:J12"/>
    <x:mergeCell ref="C15:J15"/>
    <x:mergeCell ref="E16:J16"/>
    <x:mergeCell ref="E17:J17"/>
    <x:mergeCell ref="E18:J18"/>
    <x:mergeCell ref="C21:J21"/>
    <x:mergeCell ref="D22:J22"/>
    <x:mergeCell ref="D23:J23"/>
    <x:mergeCell ref="D24:J24"/>
    <x:mergeCell ref="D25:J25"/>
    <x:mergeCell ref="C28:J28"/>
    <x:mergeCell ref="E29:J29"/>
    <x:mergeCell ref="E30:J30"/>
    <x:mergeCell ref="E31:J31"/>
    <x:mergeCell ref="E32:J32"/>
    <x:mergeCell ref="E33:J33"/>
    <x:mergeCell ref="E34:J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630B9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3" max="3" width="10" hidden="0" customWidth="1"/>
    <x:col min="4" max="4" width="16" hidden="0" customWidth="1"/>
    <x:col min="5" max="5" width="28" hidden="0" customWidth="1"/>
    <x:col min="6" max="6" width="28" hidden="0" customWidth="1"/>
    <x:col min="7" max="7" width="14" hidden="0" customWidth="1"/>
    <x:col min="8" max="8" width="28" hidden="0" customWidth="1"/>
    <x:col min="9" max="9" width="18" hidden="0" customWidth="1"/>
    <x:col min="10" max="10" width="34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1"/>
      <x:c r="B2" s="1"/>
      <x:c r="C2" s="4" t="str">
        <x:v>IR Evidence Ledger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>
      <x:c r="A3" s="1"/>
      <x:c r="B3" s="1"/>
      <x:c r="C3" s="6" t="str">
        <x:v>Claim, Evidence, Method, Implication을 한 줄에서 관리합니다.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4" customHeight="1">
      <x:c r="A5" s="1"/>
      <x:c r="B5" s="1"/>
      <x:c r="C5" s="30" t="str">
        <x:v>ID</x:v>
      </x:c>
      <x:c r="D5" s="30" t="str">
        <x:v>Slide / Block</x:v>
      </x:c>
      <x:c r="E5" s="30" t="str">
        <x:v>Claim</x:v>
      </x:c>
      <x:c r="F5" s="30" t="str">
        <x:v>Evidence</x:v>
      </x:c>
      <x:c r="G5" s="30" t="str">
        <x:v>Evidence Type</x:v>
      </x:c>
      <x:c r="H5" s="30" t="str">
        <x:v>Method / Definition</x:v>
      </x:c>
      <x:c r="I5" s="30" t="str">
        <x:v>Period / Market</x:v>
      </x:c>
      <x:c r="J5" s="30" t="str">
        <x:v>Source URL</x:v>
      </x:c>
      <x:c r="K5" s="30" t="str">
        <x:v>Owner</x:v>
      </x:c>
      <x:c r="L5" s="30" t="str">
        <x:v>Status</x:v>
      </x:c>
      <x:c r="M5" s="30" t="str">
        <x:v>Readiness</x:v>
      </x:c>
    </x:row>
    <x:row r="6" ht="34" customHeight="1">
      <x:c r="A6" s="1"/>
      <x:c r="B6" s="1"/>
      <x:c r="C6" s="22" t="str">
        <x:v>EV-001</x:v>
      </x:c>
      <x:c r="D6" s="22" t="str">
        <x:v>Market</x:v>
      </x:c>
      <x:c r="E6" s="22" t="str">
        <x:v>Bottom-up TAM은 고객 수, 가격, 판매방식을 함께 반영해야 한다</x:v>
      </x:c>
      <x:c r="F6" s="22" t="str">
        <x:v>a16z 공식 가이드</x:v>
      </x:c>
      <x:c r="G6" s="22" t="str">
        <x:v>Benchmark</x:v>
      </x:c>
      <x:c r="H6" s="22" t="str">
        <x:v>원문 원칙을 회사 TAM 계산식에 적용</x:v>
      </x:c>
      <x:c r="I6" s="22" t="str">
        <x:v>Accessed 2026-09-05</x:v>
      </x:c>
      <x:c r="J6" s="22" t="str">
        <x:v>https://a16z.com/16-more-startup-metrics/</x:v>
      </x:c>
      <x:c r="K6" s="22" t="str">
        <x:v>Strategy</x:v>
      </x:c>
      <x:c r="L6" s="22" t="str">
        <x:v>Verified</x:v>
      </x:c>
      <x:c r="M6" s="23" t="str">
        <x:f>IF(COUNTA(C6:L6)=0,"",IF(AND(E6&lt;&gt;"",G6&lt;&gt;"",I6&lt;&gt;"",K6&lt;&gt;"",L6&lt;&gt;""),"Ready","Missing fields"))</x:f>
        <x:v>Ready</x:v>
      </x:c>
    </x:row>
    <x:row r="7" ht="34" customHeight="1">
      <x:c r="A7" s="1"/>
      <x:c r="B7" s="1"/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3" t="str">
        <x:f>IF(COUNTA(C7:L7)=0,"",IF(AND(E7&lt;&gt;"",G7&lt;&gt;"",I7&lt;&gt;"",K7&lt;&gt;"",L7&lt;&gt;""),"Ready","Missing fields"))</x:f>
      </x:c>
    </x:row>
    <x:row r="8" ht="34" customHeight="1">
      <x:c r="A8" s="1"/>
      <x:c r="B8" s="1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3" t="str">
        <x:f>IF(COUNTA(C8:L8)=0,"",IF(AND(E8&lt;&gt;"",G8&lt;&gt;"",I8&lt;&gt;"",K8&lt;&gt;"",L8&lt;&gt;""),"Ready","Missing fields"))</x:f>
      </x:c>
    </x:row>
    <x:row r="9" ht="34" customHeight="1">
      <x:c r="A9" s="1"/>
      <x:c r="B9" s="1"/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3" t="str">
        <x:f>IF(COUNTA(C9:L9)=0,"",IF(AND(E9&lt;&gt;"",G9&lt;&gt;"",I9&lt;&gt;"",K9&lt;&gt;"",L9&lt;&gt;""),"Ready","Missing fields"))</x:f>
      </x:c>
    </x:row>
    <x:row r="10" ht="34" customHeight="1">
      <x:c r="A10" s="1"/>
      <x:c r="B10" s="1"/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3" t="str">
        <x:f>IF(COUNTA(C10:L10)=0,"",IF(AND(E10&lt;&gt;"",G10&lt;&gt;"",I10&lt;&gt;"",K10&lt;&gt;"",L10&lt;&gt;""),"Ready","Missing fields"))</x:f>
      </x:c>
    </x:row>
    <x:row r="11" ht="34" customHeight="1">
      <x:c r="A11" s="1"/>
      <x:c r="B11" s="1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3" t="str">
        <x:f>IF(COUNTA(C11:L11)=0,"",IF(AND(E11&lt;&gt;"",G11&lt;&gt;"",I11&lt;&gt;"",K11&lt;&gt;"",L11&lt;&gt;""),"Ready","Missing fields"))</x:f>
      </x:c>
    </x:row>
    <x:row r="12" ht="34" customHeight="1">
      <x:c r="A12" s="1"/>
      <x:c r="B12" s="1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3" t="str">
        <x:f>IF(COUNTA(C12:L12)=0,"",IF(AND(E12&lt;&gt;"",G12&lt;&gt;"",I12&lt;&gt;"",K12&lt;&gt;"",L12&lt;&gt;""),"Ready","Missing fields"))</x:f>
      </x:c>
    </x:row>
    <x:row r="13" ht="34" customHeight="1">
      <x:c r="A13" s="1"/>
      <x:c r="B13" s="1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3" t="str">
        <x:f>IF(COUNTA(C13:L13)=0,"",IF(AND(E13&lt;&gt;"",G13&lt;&gt;"",I13&lt;&gt;"",K13&lt;&gt;"",L13&lt;&gt;""),"Ready","Missing fields"))</x:f>
      </x:c>
    </x:row>
    <x:row r="14" ht="34" customHeight="1">
      <x:c r="A14" s="1"/>
      <x:c r="B14" s="1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3" t="str">
        <x:f>IF(COUNTA(C14:L14)=0,"",IF(AND(E14&lt;&gt;"",G14&lt;&gt;"",I14&lt;&gt;"",K14&lt;&gt;"",L14&lt;&gt;""),"Ready","Missing fields"))</x:f>
      </x:c>
    </x:row>
    <x:row r="15" ht="34" customHeight="1">
      <x:c r="A15" s="1"/>
      <x:c r="B15" s="1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3" t="str">
        <x:f>IF(COUNTA(C15:L15)=0,"",IF(AND(E15&lt;&gt;"",G15&lt;&gt;"",I15&lt;&gt;"",K15&lt;&gt;"",L15&lt;&gt;""),"Ready","Missing fields"))</x:f>
      </x:c>
    </x:row>
    <x:row r="16" ht="34" customHeight="1">
      <x:c r="A16" s="1"/>
      <x:c r="B16" s="1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3" t="str">
        <x:f>IF(COUNTA(C16:L16)=0,"",IF(AND(E16&lt;&gt;"",G16&lt;&gt;"",I16&lt;&gt;"",K16&lt;&gt;"",L16&lt;&gt;""),"Ready","Missing fields"))</x:f>
      </x:c>
    </x:row>
    <x:row r="17" ht="34" customHeight="1">
      <x:c r="A17" s="1"/>
      <x:c r="B17" s="1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3" t="str">
        <x:f>IF(COUNTA(C17:L17)=0,"",IF(AND(E17&lt;&gt;"",G17&lt;&gt;"",I17&lt;&gt;"",K17&lt;&gt;"",L17&lt;&gt;""),"Ready","Missing fields"))</x:f>
      </x:c>
    </x:row>
    <x:row r="18" ht="34" customHeight="1">
      <x:c r="A18" s="1"/>
      <x:c r="B18" s="1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3" t="str">
        <x:f>IF(COUNTA(C18:L18)=0,"",IF(AND(E18&lt;&gt;"",G18&lt;&gt;"",I18&lt;&gt;"",K18&lt;&gt;"",L18&lt;&gt;""),"Ready","Missing fields"))</x:f>
      </x:c>
    </x:row>
    <x:row r="19" ht="34" customHeight="1">
      <x:c r="A19" s="1"/>
      <x:c r="B19" s="1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3" t="str">
        <x:f>IF(COUNTA(C19:L19)=0,"",IF(AND(E19&lt;&gt;"",G19&lt;&gt;"",I19&lt;&gt;"",K19&lt;&gt;"",L19&lt;&gt;""),"Ready","Missing fields"))</x:f>
      </x:c>
    </x:row>
    <x:row r="20" ht="34" customHeight="1">
      <x:c r="A20" s="1"/>
      <x:c r="B20" s="1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3" t="str">
        <x:f>IF(COUNTA(C20:L20)=0,"",IF(AND(E20&lt;&gt;"",G20&lt;&gt;"",I20&lt;&gt;"",K20&lt;&gt;"",L20&lt;&gt;""),"Ready","Missing fields"))</x:f>
      </x:c>
    </x:row>
    <x:row r="21" ht="34" customHeight="1">
      <x:c r="A21" s="1"/>
      <x:c r="B21" s="1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3" t="str">
        <x:f>IF(COUNTA(C21:L21)=0,"",IF(AND(E21&lt;&gt;"",G21&lt;&gt;"",I21&lt;&gt;"",K21&lt;&gt;"",L21&lt;&gt;""),"Ready","Missing fields"))</x:f>
      </x:c>
    </x:row>
    <x:row r="22" ht="34" customHeight="1">
      <x:c r="A22" s="1"/>
      <x:c r="B22" s="1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3" t="str">
        <x:f>IF(COUNTA(C22:L22)=0,"",IF(AND(E22&lt;&gt;"",G22&lt;&gt;"",I22&lt;&gt;"",K22&lt;&gt;"",L22&lt;&gt;""),"Ready","Missing fields"))</x:f>
      </x:c>
    </x:row>
    <x:row r="23" ht="34" customHeight="1">
      <x:c r="A23" s="1"/>
      <x:c r="B23" s="1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3" t="str">
        <x:f>IF(COUNTA(C23:L23)=0,"",IF(AND(E23&lt;&gt;"",G23&lt;&gt;"",I23&lt;&gt;"",K23&lt;&gt;"",L23&lt;&gt;""),"Ready","Missing fields"))</x:f>
      </x:c>
    </x:row>
    <x:row r="24" ht="34" customHeight="1">
      <x:c r="A24" s="1"/>
      <x:c r="B24" s="1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3" t="str">
        <x:f>IF(COUNTA(C24:L24)=0,"",IF(AND(E24&lt;&gt;"",G24&lt;&gt;"",I24&lt;&gt;"",K24&lt;&gt;"",L24&lt;&gt;""),"Ready","Missing fields"))</x:f>
      </x:c>
    </x:row>
    <x:row r="25" ht="34" customHeight="1">
      <x:c r="A25" s="1"/>
      <x:c r="B25" s="1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3" t="str">
        <x:f>IF(COUNTA(C25:L25)=0,"",IF(AND(E25&lt;&gt;"",G25&lt;&gt;"",I25&lt;&gt;"",K25&lt;&gt;"",L25&lt;&gt;""),"Ready","Missing fields"))</x:f>
      </x:c>
    </x:row>
    <x:row r="26" ht="34" customHeight="1">
      <x:c r="A26" s="1"/>
      <x:c r="B26" s="1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3" t="str">
        <x:f>IF(COUNTA(C26:L26)=0,"",IF(AND(E26&lt;&gt;"",G26&lt;&gt;"",I26&lt;&gt;"",K26&lt;&gt;"",L26&lt;&gt;""),"Ready","Missing fields"))</x:f>
      </x:c>
    </x:row>
    <x:row r="27" ht="34" customHeight="1">
      <x:c r="A27" s="1"/>
      <x:c r="B27" s="1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3" t="str">
        <x:f>IF(COUNTA(C27:L27)=0,"",IF(AND(E27&lt;&gt;"",G27&lt;&gt;"",I27&lt;&gt;"",K27&lt;&gt;"",L27&lt;&gt;""),"Ready","Missing fields"))</x:f>
      </x:c>
    </x:row>
    <x:row r="28" ht="34" customHeight="1">
      <x:c r="A28" s="1"/>
      <x:c r="B28" s="1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3" t="str">
        <x:f>IF(COUNTA(C28:L28)=0,"",IF(AND(E28&lt;&gt;"",G28&lt;&gt;"",I28&lt;&gt;"",K28&lt;&gt;"",L28&lt;&gt;""),"Ready","Missing fields"))</x:f>
      </x:c>
    </x:row>
    <x:row r="29" ht="34" customHeight="1">
      <x:c r="A29" s="1"/>
      <x:c r="B29" s="1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3" t="str">
        <x:f>IF(COUNTA(C29:L29)=0,"",IF(AND(E29&lt;&gt;"",G29&lt;&gt;"",I29&lt;&gt;"",K29&lt;&gt;"",L29&lt;&gt;""),"Ready","Missing fields"))</x:f>
      </x:c>
    </x:row>
    <x:row r="30" ht="34" customHeight="1">
      <x:c r="A30" s="1"/>
      <x:c r="B30" s="1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3" t="str">
        <x:f>IF(COUNTA(C30:L30)=0,"",IF(AND(E30&lt;&gt;"",G30&lt;&gt;"",I30&lt;&gt;"",K30&lt;&gt;"",L30&lt;&gt;""),"Ready","Missing fields"))</x:f>
      </x:c>
    </x:row>
    <x:row r="31" ht="34" customHeight="1">
      <x:c r="A31" s="1"/>
      <x:c r="B31" s="1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3" t="str">
        <x:f>IF(COUNTA(C31:L31)=0,"",IF(AND(E31&lt;&gt;"",G31&lt;&gt;"",I31&lt;&gt;"",K31&lt;&gt;"",L31&lt;&gt;""),"Ready","Missing fields"))</x:f>
      </x:c>
    </x:row>
    <x:row r="32" ht="34" customHeight="1">
      <x:c r="A32" s="1"/>
      <x:c r="B32" s="1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3" t="str">
        <x:f>IF(COUNTA(C32:L32)=0,"",IF(AND(E32&lt;&gt;"",G32&lt;&gt;"",I32&lt;&gt;"",K32&lt;&gt;"",L32&lt;&gt;""),"Ready","Missing fields"))</x:f>
      </x:c>
    </x:row>
    <x:row r="33" ht="34" customHeight="1">
      <x:c r="A33" s="1"/>
      <x:c r="B33" s="1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3" t="str">
        <x:f>IF(COUNTA(C33:L33)=0,"",IF(AND(E33&lt;&gt;"",G33&lt;&gt;"",I33&lt;&gt;"",K33&lt;&gt;"",L33&lt;&gt;""),"Ready","Missing fields"))</x:f>
      </x:c>
    </x:row>
    <x:row r="34" ht="34" customHeight="1">
      <x:c r="A34" s="1"/>
      <x:c r="B34" s="1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3" t="str">
        <x:f>IF(COUNTA(C34:L34)=0,"",IF(AND(E34&lt;&gt;"",G34&lt;&gt;"",I34&lt;&gt;"",K34&lt;&gt;"",L34&lt;&gt;""),"Ready","Missing fields"))</x:f>
      </x:c>
    </x:row>
    <x:row r="35" ht="34" customHeight="1">
      <x:c r="A35" s="1"/>
      <x:c r="B35" s="1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3" t="str">
        <x:f>IF(COUNTA(C35:L35)=0,"",IF(AND(E35&lt;&gt;"",G35&lt;&gt;"",I35&lt;&gt;"",K35&lt;&gt;"",L35&lt;&gt;""),"Ready","Missing fields"))</x:f>
      </x:c>
    </x:row>
  </x:sheetData>
  <x:mergeCells>
    <x:mergeCell ref="C2:M2"/>
    <x:mergeCell ref="C3:M3"/>
  </x:mergeCells>
  <x:conditionalFormatting sqref="M6:M35">
    <x:cfRule type="containsText" dxfId="0" priority="1" operator="containsText" text="Missing"/>
    <x:cfRule type="containsText" dxfId="1" priority="2" operator="containsText" text="Ready"/>
  </x:conditionalFormatting>
  <x:dataValidations count="2">
    <x:dataValidation type="list" sqref="G6:G35">
      <x:formula1>"Actual,Observed,Contracted,Benchmark,Assumption"</x:formula1>
    </x:dataValidation>
    <x:dataValidation type="list" sqref="L6:L35">
      <x:formula1>"Draft,Verified,Needs update,Exclude"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6B56B"/>
  </x:sheetPr>
  <x:sheetViews>
    <x:sheetView showGridLines="0" workbookViewId="0">
      <x:pane xSplit="2" ySplit="17" topLeftCell="C18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3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</x:row>
    <x:row r="2">
      <x:c r="A2" s="1"/>
      <x:c r="B2" s="1"/>
      <x:c r="C2" s="4" t="str">
        <x:v>Assumptions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  <x:c r="AA2" s="5"/>
      <x:c r="AB2" s="5"/>
      <x:c r="AC2" s="5"/>
      <x:c r="AD2" s="5"/>
      <x:c r="AE2" s="5"/>
      <x:c r="AF2" s="5"/>
      <x:c r="AG2" s="5"/>
      <x:c r="AH2" s="5"/>
      <x:c r="AI2" s="5"/>
      <x:c r="AJ2" s="5"/>
      <x:c r="AK2" s="5"/>
      <x:c r="AL2" s="5"/>
    </x:row>
    <x:row r="3">
      <x:c r="A3" s="1"/>
      <x:c r="B3" s="1"/>
      <x:c r="C3" s="6" t="str">
        <x:v>파란 셀은 입력값입니다. 월별로 실제값과 가정을 구분해 수정하세요.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  <x:c r="AC3" s="5"/>
      <x:c r="AD3" s="5"/>
      <x:c r="AE3" s="5"/>
      <x:c r="AF3" s="5"/>
      <x:c r="AG3" s="5"/>
      <x:c r="AH3" s="5"/>
      <x:c r="AI3" s="5"/>
      <x:c r="AJ3" s="5"/>
      <x:c r="AK3" s="5"/>
      <x:c r="AL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</x:row>
    <x:row r="5">
      <x:c r="A5" s="1"/>
      <x:c r="B5" s="1"/>
      <x:c r="C5" s="30" t="str">
        <x:v>Setup Input</x:v>
      </x:c>
      <x:c r="D5" s="30" t="str">
        <x:v>Value</x:v>
      </x:c>
      <x:c r="E5" s="30" t="str">
        <x:v>Unit</x:v>
      </x:c>
      <x:c r="F5" s="30" t="str">
        <x:v>Source / Note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</x:row>
    <x:row r="6">
      <x:c r="A6" s="1"/>
      <x:c r="B6" s="1"/>
      <x:c r="C6" s="16" t="str">
        <x:v>Selected Scenario</x:v>
      </x:c>
      <x:c r="D6" s="22" t="str">
        <x:v>Base</x:v>
      </x:c>
      <x:c r="E6" s="16" t="str">
        <x:v>Downside / Base / Upside</x:v>
      </x:c>
      <x:c r="F6" s="16" t="str">
        <x:v>Investor Outputs와 Revenue Model을 제어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</x:row>
    <x:row r="7">
      <x:c r="A7" s="1"/>
      <x:c r="B7" s="1"/>
      <x:c r="C7" s="16" t="str">
        <x:v>Starting Customers</x:v>
      </x:c>
      <x:c r="D7" s="33" t="n">
        <x:v>3</x:v>
      </x:c>
      <x:c r="E7" s="16" t="str">
        <x:v>customers</x:v>
      </x:c>
      <x:c r="F7" s="16" t="str">
        <x:v>실제 유료 고객 수로 교체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</x:row>
    <x:row r="8">
      <x:c r="A8" s="1"/>
      <x:c r="B8" s="1"/>
      <x:c r="C8" s="16" t="str">
        <x:v>Opening Cash</x:v>
      </x:c>
      <x:c r="D8" s="32" t="n">
        <x:v>500000000</x:v>
      </x:c>
      <x:c r="E8" s="16" t="str">
        <x:v>KRW</x:v>
      </x:c>
      <x:c r="F8" s="16" t="str">
        <x:v>기준일 가용 현금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</x:row>
    <x:row r="9">
      <x:c r="A9" s="1"/>
      <x:c r="B9" s="1"/>
      <x:c r="C9" s="16" t="str">
        <x:v>Funding Amount</x:v>
      </x:c>
      <x:c r="D9" s="32" t="n">
        <x:v>1500000000</x:v>
      </x:c>
      <x:c r="E9" s="16" t="str">
        <x:v>KRW</x:v>
      </x:c>
      <x:c r="F9" s="16" t="str">
        <x:v>이번 라운드에서 유입되는 현금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</x:row>
    <x:row r="10">
      <x:c r="A10" s="1"/>
      <x:c r="B10" s="1"/>
      <x:c r="C10" s="16" t="str">
        <x:v>Funding Month</x:v>
      </x:c>
      <x:c r="D10" s="22" t="n">
        <x:v>1</x:v>
      </x:c>
      <x:c r="E10" s="16" t="str">
        <x:v>month 1-36</x:v>
      </x:c>
      <x:c r="F10" s="16" t="str">
        <x:v>투자금 유입 예정 월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</x:row>
    <x:row r="11">
      <x:c r="A11" s="1"/>
      <x:c r="B11" s="1"/>
      <x:c r="C11" s="16" t="str">
        <x:v>Sales Cycle Lag</x:v>
      </x:c>
      <x:c r="D11" s="22" t="n">
        <x:v>3</x:v>
      </x:c>
      <x:c r="E11" s="16" t="str">
        <x:v>months</x:v>
      </x:c>
      <x:c r="F11" s="16" t="str">
        <x:v>qualified opportunity부터 계약까지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</x:row>
    <x:row r="12">
      <x:c r="A12" s="1"/>
      <x:c r="B12" s="1"/>
      <x:c r="C12" s="16" t="str">
        <x:v>KRW per USD</x:v>
      </x:c>
      <x:c r="D12" s="22" t="n">
        <x:v>1380</x:v>
      </x:c>
      <x:c r="E12" s="16" t="str">
        <x:v>KRW/USD</x:v>
      </x:c>
      <x:c r="F12" s="16" t="str">
        <x:v>https://openai.com/index/advancing-the-price-performance-frontier-with-gpt-5-6/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</x:row>
    <x:row r="13">
      <x:c r="A13" s="1"/>
      <x:c r="B13" s="1"/>
      <x:c r="C13" s="16" t="str">
        <x:v>API Input Price</x:v>
      </x:c>
      <x:c r="D13" s="22" t="n">
        <x:v>2</x:v>
      </x:c>
      <x:c r="E13" s="16" t="str">
        <x:v>USD / 1M tokens</x:v>
      </x:c>
      <x:c r="F13" s="16" t="str">
        <x:v>https://openai.com/index/advancing-the-price-performance-frontier-with-gpt-5-6/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</x:row>
    <x:row r="14">
      <x:c r="A14" s="1"/>
      <x:c r="B14" s="1"/>
      <x:c r="C14" s="16" t="str">
        <x:v>API Output Price</x:v>
      </x:c>
      <x:c r="D14" s="22" t="n">
        <x:v>12</x:v>
      </x:c>
      <x:c r="E14" s="16" t="str">
        <x:v>USD / 1M tokens</x:v>
      </x:c>
      <x:c r="F14" s="16" t="str">
        <x:v>OpenAI GPT-5.6 Terra example, 2026-09-05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</x:row>
    <x:row r="15">
      <x:c r="A15" s="1"/>
      <x:c r="B15" s="1"/>
      <x:c r="C15" s="16" t="str">
        <x:v>Other Variable Cost</x:v>
      </x:c>
      <x:c r="D15" s="31" t="n">
        <x:v>0.02</x:v>
      </x:c>
      <x:c r="E15" s="16" t="str">
        <x:v>% of revenue</x:v>
      </x:c>
      <x:c r="F15" s="16" t="str">
        <x:v>결제, 변동 지원비 등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</x:row>
    <x:row r="17">
      <x:c r="A17" s="39" t="str">
        <x:v>x</x:v>
      </x:c>
      <x:c r="B17" s="1"/>
      <x:c r="C17" s="38" t="n">
        <x:v>46266</x:v>
      </x:c>
      <x:c r="D17" s="38" t="n">
        <x:v>46296</x:v>
      </x:c>
      <x:c r="E17" s="38" t="n">
        <x:v>46327</x:v>
      </x:c>
      <x:c r="F17" s="38" t="n">
        <x:v>46357</x:v>
      </x:c>
      <x:c r="G17" s="38" t="n">
        <x:v>46388</x:v>
      </x:c>
      <x:c r="H17" s="38" t="n">
        <x:v>46419</x:v>
      </x:c>
      <x:c r="I17" s="38" t="n">
        <x:v>46447</x:v>
      </x:c>
      <x:c r="J17" s="38" t="n">
        <x:v>46478</x:v>
      </x:c>
      <x:c r="K17" s="38" t="n">
        <x:v>46508</x:v>
      </x:c>
      <x:c r="L17" s="38" t="n">
        <x:v>46539</x:v>
      </x:c>
      <x:c r="M17" s="38" t="n">
        <x:v>46569</x:v>
      </x:c>
      <x:c r="N17" s="38" t="n">
        <x:v>46600</x:v>
      </x:c>
      <x:c r="O17" s="38" t="n">
        <x:v>46631</x:v>
      </x:c>
      <x:c r="P17" s="38" t="n">
        <x:v>46661</x:v>
      </x:c>
      <x:c r="Q17" s="38" t="n">
        <x:v>46692</x:v>
      </x:c>
      <x:c r="R17" s="38" t="n">
        <x:v>46722</x:v>
      </x:c>
      <x:c r="S17" s="38" t="n">
        <x:v>46753</x:v>
      </x:c>
      <x:c r="T17" s="38" t="n">
        <x:v>46784</x:v>
      </x:c>
      <x:c r="U17" s="38" t="n">
        <x:v>46813</x:v>
      </x:c>
      <x:c r="V17" s="38" t="n">
        <x:v>46844</x:v>
      </x:c>
      <x:c r="W17" s="38" t="n">
        <x:v>46874</x:v>
      </x:c>
      <x:c r="X17" s="38" t="n">
        <x:v>46905</x:v>
      </x:c>
      <x:c r="Y17" s="38" t="n">
        <x:v>46935</x:v>
      </x:c>
      <x:c r="Z17" s="38" t="n">
        <x:v>46966</x:v>
      </x:c>
      <x:c r="AA17" s="38" t="n">
        <x:v>46997</x:v>
      </x:c>
      <x:c r="AB17" s="38" t="n">
        <x:v>47027</x:v>
      </x:c>
      <x:c r="AC17" s="38" t="n">
        <x:v>47058</x:v>
      </x:c>
      <x:c r="AD17" s="38" t="n">
        <x:v>47088</x:v>
      </x:c>
      <x:c r="AE17" s="38" t="n">
        <x:v>47119</x:v>
      </x:c>
      <x:c r="AF17" s="38" t="n">
        <x:v>47150</x:v>
      </x:c>
      <x:c r="AG17" s="38" t="n">
        <x:v>47178</x:v>
      </x:c>
      <x:c r="AH17" s="38" t="n">
        <x:v>47209</x:v>
      </x:c>
      <x:c r="AI17" s="38" t="n">
        <x:v>47239</x:v>
      </x:c>
      <x:c r="AJ17" s="38" t="n">
        <x:v>47270</x:v>
      </x:c>
      <x:c r="AK17" s="38" t="n">
        <x:v>47300</x:v>
      </x:c>
      <x:c r="AL17" s="38" t="n">
        <x:v>47331</x:v>
      </x:c>
    </x:row>
    <x:row r="18">
      <x:c r="A18" s="46" t="str">
        <x:v>Sales Reps</x:v>
      </x:c>
      <x:c r="B18" s="46" t="str">
        <x:v>Selected | FTE</x:v>
      </x:c>
      <x:c r="C18" s="55" t="n">
        <x:f>IF($D$6="Downside",C19,IF($D$6="Base",C20,C21))</x:f>
        <x:v>2</x:v>
      </x:c>
      <x:c r="D18" s="55" t="n">
        <x:f>IF($D$6="Downside",D19,IF($D$6="Base",D20,D21))</x:f>
        <x:v>2</x:v>
      </x:c>
      <x:c r="E18" s="55" t="n">
        <x:f>IF($D$6="Downside",E19,IF($D$6="Base",E20,E21))</x:f>
        <x:v>2</x:v>
      </x:c>
      <x:c r="F18" s="55" t="n">
        <x:f>IF($D$6="Downside",F19,IF($D$6="Base",F20,F21))</x:f>
        <x:v>2</x:v>
      </x:c>
      <x:c r="G18" s="55" t="n">
        <x:f>IF($D$6="Downside",G19,IF($D$6="Base",G20,G21))</x:f>
        <x:v>2</x:v>
      </x:c>
      <x:c r="H18" s="55" t="n">
        <x:f>IF($D$6="Downside",H19,IF($D$6="Base",H20,H21))</x:f>
        <x:v>2</x:v>
      </x:c>
      <x:c r="I18" s="55" t="n">
        <x:f>IF($D$6="Downside",I19,IF($D$6="Base",I20,I21))</x:f>
        <x:v>2</x:v>
      </x:c>
      <x:c r="J18" s="55" t="n">
        <x:f>IF($D$6="Downside",J19,IF($D$6="Base",J20,J21))</x:f>
        <x:v>2</x:v>
      </x:c>
      <x:c r="K18" s="55" t="n">
        <x:f>IF($D$6="Downside",K19,IF($D$6="Base",K20,K21))</x:f>
        <x:v>2</x:v>
      </x:c>
      <x:c r="L18" s="55" t="n">
        <x:f>IF($D$6="Downside",L19,IF($D$6="Base",L20,L21))</x:f>
        <x:v>2</x:v>
      </x:c>
      <x:c r="M18" s="55" t="n">
        <x:f>IF($D$6="Downside",M19,IF($D$6="Base",M20,M21))</x:f>
        <x:v>2</x:v>
      </x:c>
      <x:c r="N18" s="55" t="n">
        <x:f>IF($D$6="Downside",N19,IF($D$6="Base",N20,N21))</x:f>
        <x:v>2</x:v>
      </x:c>
      <x:c r="O18" s="55" t="n">
        <x:f>IF($D$6="Downside",O19,IF($D$6="Base",O20,O21))</x:f>
        <x:v>2</x:v>
      </x:c>
      <x:c r="P18" s="55" t="n">
        <x:f>IF($D$6="Downside",P19,IF($D$6="Base",P20,P21))</x:f>
        <x:v>2</x:v>
      </x:c>
      <x:c r="Q18" s="55" t="n">
        <x:f>IF($D$6="Downside",Q19,IF($D$6="Base",Q20,Q21))</x:f>
        <x:v>2</x:v>
      </x:c>
      <x:c r="R18" s="55" t="n">
        <x:f>IF($D$6="Downside",R19,IF($D$6="Base",R20,R21))</x:f>
        <x:v>2</x:v>
      </x:c>
      <x:c r="S18" s="55" t="n">
        <x:f>IF($D$6="Downside",S19,IF($D$6="Base",S20,S21))</x:f>
        <x:v>2</x:v>
      </x:c>
      <x:c r="T18" s="55" t="n">
        <x:f>IF($D$6="Downside",T19,IF($D$6="Base",T20,T21))</x:f>
        <x:v>2</x:v>
      </x:c>
      <x:c r="U18" s="55" t="n">
        <x:f>IF($D$6="Downside",U19,IF($D$6="Base",U20,U21))</x:f>
        <x:v>2</x:v>
      </x:c>
      <x:c r="V18" s="55" t="n">
        <x:f>IF($D$6="Downside",V19,IF($D$6="Base",V20,V21))</x:f>
        <x:v>2</x:v>
      </x:c>
      <x:c r="W18" s="55" t="n">
        <x:f>IF($D$6="Downside",W19,IF($D$6="Base",W20,W21))</x:f>
        <x:v>2</x:v>
      </x:c>
      <x:c r="X18" s="55" t="n">
        <x:f>IF($D$6="Downside",X19,IF($D$6="Base",X20,X21))</x:f>
        <x:v>2</x:v>
      </x:c>
      <x:c r="Y18" s="55" t="n">
        <x:f>IF($D$6="Downside",Y19,IF($D$6="Base",Y20,Y21))</x:f>
        <x:v>2</x:v>
      </x:c>
      <x:c r="Z18" s="55" t="n">
        <x:f>IF($D$6="Downside",Z19,IF($D$6="Base",Z20,Z21))</x:f>
        <x:v>2</x:v>
      </x:c>
      <x:c r="AA18" s="55" t="n">
        <x:f>IF($D$6="Downside",AA19,IF($D$6="Base",AA20,AA21))</x:f>
        <x:v>2</x:v>
      </x:c>
      <x:c r="AB18" s="55" t="n">
        <x:f>IF($D$6="Downside",AB19,IF($D$6="Base",AB20,AB21))</x:f>
        <x:v>2</x:v>
      </x:c>
      <x:c r="AC18" s="55" t="n">
        <x:f>IF($D$6="Downside",AC19,IF($D$6="Base",AC20,AC21))</x:f>
        <x:v>2</x:v>
      </x:c>
      <x:c r="AD18" s="55" t="n">
        <x:f>IF($D$6="Downside",AD19,IF($D$6="Base",AD20,AD21))</x:f>
        <x:v>2</x:v>
      </x:c>
      <x:c r="AE18" s="55" t="n">
        <x:f>IF($D$6="Downside",AE19,IF($D$6="Base",AE20,AE21))</x:f>
        <x:v>2</x:v>
      </x:c>
      <x:c r="AF18" s="55" t="n">
        <x:f>IF($D$6="Downside",AF19,IF($D$6="Base",AF20,AF21))</x:f>
        <x:v>2</x:v>
      </x:c>
      <x:c r="AG18" s="55" t="n">
        <x:f>IF($D$6="Downside",AG19,IF($D$6="Base",AG20,AG21))</x:f>
        <x:v>2</x:v>
      </x:c>
      <x:c r="AH18" s="55" t="n">
        <x:f>IF($D$6="Downside",AH19,IF($D$6="Base",AH20,AH21))</x:f>
        <x:v>2</x:v>
      </x:c>
      <x:c r="AI18" s="55" t="n">
        <x:f>IF($D$6="Downside",AI19,IF($D$6="Base",AI20,AI21))</x:f>
        <x:v>2</x:v>
      </x:c>
      <x:c r="AJ18" s="55" t="n">
        <x:f>IF($D$6="Downside",AJ19,IF($D$6="Base",AJ20,AJ21))</x:f>
        <x:v>2</x:v>
      </x:c>
      <x:c r="AK18" s="55" t="n">
        <x:f>IF($D$6="Downside",AK19,IF($D$6="Base",AK20,AK21))</x:f>
        <x:v>2</x:v>
      </x:c>
      <x:c r="AL18" s="55" t="n">
        <x:f>IF($D$6="Downside",AL19,IF($D$6="Base",AL20,AL21))</x:f>
        <x:v>2</x:v>
      </x:c>
    </x:row>
    <x:row r="19">
      <x:c r="A19" s="47" t="str"/>
      <x:c r="B19" s="48" t="str">
        <x:v>Downside</x:v>
      </x:c>
      <x:c r="C19" s="52" t="n">
        <x:v>1</x:v>
      </x:c>
      <x:c r="D19" s="52" t="n">
        <x:v>1</x:v>
      </x:c>
      <x:c r="E19" s="52" t="n">
        <x:v>1</x:v>
      </x:c>
      <x:c r="F19" s="52" t="n">
        <x:v>1</x:v>
      </x:c>
      <x:c r="G19" s="52" t="n">
        <x:v>1</x:v>
      </x:c>
      <x:c r="H19" s="52" t="n">
        <x:v>1</x:v>
      </x:c>
      <x:c r="I19" s="52" t="n">
        <x:v>1</x:v>
      </x:c>
      <x:c r="J19" s="52" t="n">
        <x:v>1</x:v>
      </x:c>
      <x:c r="K19" s="52" t="n">
        <x:v>1</x:v>
      </x:c>
      <x:c r="L19" s="52" t="n">
        <x:v>1</x:v>
      </x:c>
      <x:c r="M19" s="52" t="n">
        <x:v>1</x:v>
      </x:c>
      <x:c r="N19" s="52" t="n">
        <x:v>1</x:v>
      </x:c>
      <x:c r="O19" s="52" t="n">
        <x:v>1</x:v>
      </x:c>
      <x:c r="P19" s="52" t="n">
        <x:v>1</x:v>
      </x:c>
      <x:c r="Q19" s="52" t="n">
        <x:v>1</x:v>
      </x:c>
      <x:c r="R19" s="52" t="n">
        <x:v>1</x:v>
      </x:c>
      <x:c r="S19" s="52" t="n">
        <x:v>1</x:v>
      </x:c>
      <x:c r="T19" s="52" t="n">
        <x:v>1</x:v>
      </x:c>
      <x:c r="U19" s="52" t="n">
        <x:v>1</x:v>
      </x:c>
      <x:c r="V19" s="52" t="n">
        <x:v>1</x:v>
      </x:c>
      <x:c r="W19" s="52" t="n">
        <x:v>1</x:v>
      </x:c>
      <x:c r="X19" s="52" t="n">
        <x:v>1</x:v>
      </x:c>
      <x:c r="Y19" s="52" t="n">
        <x:v>1</x:v>
      </x:c>
      <x:c r="Z19" s="52" t="n">
        <x:v>1</x:v>
      </x:c>
      <x:c r="AA19" s="52" t="n">
        <x:v>1</x:v>
      </x:c>
      <x:c r="AB19" s="52" t="n">
        <x:v>1</x:v>
      </x:c>
      <x:c r="AC19" s="52" t="n">
        <x:v>1</x:v>
      </x:c>
      <x:c r="AD19" s="52" t="n">
        <x:v>1</x:v>
      </x:c>
      <x:c r="AE19" s="52" t="n">
        <x:v>1</x:v>
      </x:c>
      <x:c r="AF19" s="52" t="n">
        <x:v>1</x:v>
      </x:c>
      <x:c r="AG19" s="52" t="n">
        <x:v>1</x:v>
      </x:c>
      <x:c r="AH19" s="52" t="n">
        <x:v>1</x:v>
      </x:c>
      <x:c r="AI19" s="52" t="n">
        <x:v>1</x:v>
      </x:c>
      <x:c r="AJ19" s="52" t="n">
        <x:v>1</x:v>
      </x:c>
      <x:c r="AK19" s="52" t="n">
        <x:v>1</x:v>
      </x:c>
      <x:c r="AL19" s="52" t="n">
        <x:v>1</x:v>
      </x:c>
    </x:row>
    <x:row r="20">
      <x:c r="A20" s="47" t="str"/>
      <x:c r="B20" s="48" t="str">
        <x:v>Base</x:v>
      </x:c>
      <x:c r="C20" s="52" t="n">
        <x:v>2</x:v>
      </x:c>
      <x:c r="D20" s="52" t="n">
        <x:v>2</x:v>
      </x:c>
      <x:c r="E20" s="52" t="n">
        <x:v>2</x:v>
      </x:c>
      <x:c r="F20" s="52" t="n">
        <x:v>2</x:v>
      </x:c>
      <x:c r="G20" s="52" t="n">
        <x:v>2</x:v>
      </x:c>
      <x:c r="H20" s="52" t="n">
        <x:v>2</x:v>
      </x:c>
      <x:c r="I20" s="52" t="n">
        <x:v>2</x:v>
      </x:c>
      <x:c r="J20" s="52" t="n">
        <x:v>2</x:v>
      </x:c>
      <x:c r="K20" s="52" t="n">
        <x:v>2</x:v>
      </x:c>
      <x:c r="L20" s="52" t="n">
        <x:v>2</x:v>
      </x:c>
      <x:c r="M20" s="52" t="n">
        <x:v>2</x:v>
      </x:c>
      <x:c r="N20" s="52" t="n">
        <x:v>2</x:v>
      </x:c>
      <x:c r="O20" s="52" t="n">
        <x:v>2</x:v>
      </x:c>
      <x:c r="P20" s="52" t="n">
        <x:v>2</x:v>
      </x:c>
      <x:c r="Q20" s="52" t="n">
        <x:v>2</x:v>
      </x:c>
      <x:c r="R20" s="52" t="n">
        <x:v>2</x:v>
      </x:c>
      <x:c r="S20" s="52" t="n">
        <x:v>2</x:v>
      </x:c>
      <x:c r="T20" s="52" t="n">
        <x:v>2</x:v>
      </x:c>
      <x:c r="U20" s="52" t="n">
        <x:v>2</x:v>
      </x:c>
      <x:c r="V20" s="52" t="n">
        <x:v>2</x:v>
      </x:c>
      <x:c r="W20" s="52" t="n">
        <x:v>2</x:v>
      </x:c>
      <x:c r="X20" s="52" t="n">
        <x:v>2</x:v>
      </x:c>
      <x:c r="Y20" s="52" t="n">
        <x:v>2</x:v>
      </x:c>
      <x:c r="Z20" s="52" t="n">
        <x:v>2</x:v>
      </x:c>
      <x:c r="AA20" s="52" t="n">
        <x:v>2</x:v>
      </x:c>
      <x:c r="AB20" s="52" t="n">
        <x:v>2</x:v>
      </x:c>
      <x:c r="AC20" s="52" t="n">
        <x:v>2</x:v>
      </x:c>
      <x:c r="AD20" s="52" t="n">
        <x:v>2</x:v>
      </x:c>
      <x:c r="AE20" s="52" t="n">
        <x:v>2</x:v>
      </x:c>
      <x:c r="AF20" s="52" t="n">
        <x:v>2</x:v>
      </x:c>
      <x:c r="AG20" s="52" t="n">
        <x:v>2</x:v>
      </x:c>
      <x:c r="AH20" s="52" t="n">
        <x:v>2</x:v>
      </x:c>
      <x:c r="AI20" s="52" t="n">
        <x:v>2</x:v>
      </x:c>
      <x:c r="AJ20" s="52" t="n">
        <x:v>2</x:v>
      </x:c>
      <x:c r="AK20" s="52" t="n">
        <x:v>2</x:v>
      </x:c>
      <x:c r="AL20" s="52" t="n">
        <x:v>2</x:v>
      </x:c>
    </x:row>
    <x:row r="21">
      <x:c r="A21" s="47" t="str"/>
      <x:c r="B21" s="48" t="str">
        <x:v>Upside</x:v>
      </x:c>
      <x:c r="C21" s="52" t="n">
        <x:v>3</x:v>
      </x:c>
      <x:c r="D21" s="52" t="n">
        <x:v>3</x:v>
      </x:c>
      <x:c r="E21" s="52" t="n">
        <x:v>3</x:v>
      </x:c>
      <x:c r="F21" s="52" t="n">
        <x:v>3</x:v>
      </x:c>
      <x:c r="G21" s="52" t="n">
        <x:v>3</x:v>
      </x:c>
      <x:c r="H21" s="52" t="n">
        <x:v>3</x:v>
      </x:c>
      <x:c r="I21" s="52" t="n">
        <x:v>3</x:v>
      </x:c>
      <x:c r="J21" s="52" t="n">
        <x:v>3</x:v>
      </x:c>
      <x:c r="K21" s="52" t="n">
        <x:v>3</x:v>
      </x:c>
      <x:c r="L21" s="52" t="n">
        <x:v>3</x:v>
      </x:c>
      <x:c r="M21" s="52" t="n">
        <x:v>3</x:v>
      </x:c>
      <x:c r="N21" s="52" t="n">
        <x:v>3</x:v>
      </x:c>
      <x:c r="O21" s="52" t="n">
        <x:v>3</x:v>
      </x:c>
      <x:c r="P21" s="52" t="n">
        <x:v>3</x:v>
      </x:c>
      <x:c r="Q21" s="52" t="n">
        <x:v>3</x:v>
      </x:c>
      <x:c r="R21" s="52" t="n">
        <x:v>3</x:v>
      </x:c>
      <x:c r="S21" s="52" t="n">
        <x:v>3</x:v>
      </x:c>
      <x:c r="T21" s="52" t="n">
        <x:v>3</x:v>
      </x:c>
      <x:c r="U21" s="52" t="n">
        <x:v>3</x:v>
      </x:c>
      <x:c r="V21" s="52" t="n">
        <x:v>3</x:v>
      </x:c>
      <x:c r="W21" s="52" t="n">
        <x:v>3</x:v>
      </x:c>
      <x:c r="X21" s="52" t="n">
        <x:v>3</x:v>
      </x:c>
      <x:c r="Y21" s="52" t="n">
        <x:v>3</x:v>
      </x:c>
      <x:c r="Z21" s="52" t="n">
        <x:v>3</x:v>
      </x:c>
      <x:c r="AA21" s="52" t="n">
        <x:v>3</x:v>
      </x:c>
      <x:c r="AB21" s="52" t="n">
        <x:v>3</x:v>
      </x:c>
      <x:c r="AC21" s="52" t="n">
        <x:v>3</x:v>
      </x:c>
      <x:c r="AD21" s="52" t="n">
        <x:v>3</x:v>
      </x:c>
      <x:c r="AE21" s="52" t="n">
        <x:v>3</x:v>
      </x:c>
      <x:c r="AF21" s="52" t="n">
        <x:v>3</x:v>
      </x:c>
      <x:c r="AG21" s="52" t="n">
        <x:v>3</x:v>
      </x:c>
      <x:c r="AH21" s="52" t="n">
        <x:v>3</x:v>
      </x:c>
      <x:c r="AI21" s="52" t="n">
        <x:v>3</x:v>
      </x:c>
      <x:c r="AJ21" s="52" t="n">
        <x:v>3</x:v>
      </x:c>
      <x:c r="AK21" s="52" t="n">
        <x:v>3</x:v>
      </x:c>
      <x:c r="AL21" s="52" t="n">
        <x:v>3</x:v>
      </x:c>
    </x:row>
    <x:row r="22">
      <x:c r="A22" s="39" t="str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</x:row>
    <x:row r="23">
      <x:c r="A23" s="46" t="str">
        <x:v>Qualified Opportunities / Rep / Month</x:v>
      </x:c>
      <x:c r="B23" s="46" t="str">
        <x:v>Selected | count</x:v>
      </x:c>
      <x:c r="C23" s="55" t="n">
        <x:f>IF($D$6="Downside",C24,IF($D$6="Base",C25,C26))</x:f>
        <x:v>4</x:v>
      </x:c>
      <x:c r="D23" s="55" t="n">
        <x:f>IF($D$6="Downside",D24,IF($D$6="Base",D25,D26))</x:f>
        <x:v>4</x:v>
      </x:c>
      <x:c r="E23" s="55" t="n">
        <x:f>IF($D$6="Downside",E24,IF($D$6="Base",E25,E26))</x:f>
        <x:v>4</x:v>
      </x:c>
      <x:c r="F23" s="55" t="n">
        <x:f>IF($D$6="Downside",F24,IF($D$6="Base",F25,F26))</x:f>
        <x:v>4</x:v>
      </x:c>
      <x:c r="G23" s="55" t="n">
        <x:f>IF($D$6="Downside",G24,IF($D$6="Base",G25,G26))</x:f>
        <x:v>4</x:v>
      </x:c>
      <x:c r="H23" s="55" t="n">
        <x:f>IF($D$6="Downside",H24,IF($D$6="Base",H25,H26))</x:f>
        <x:v>4</x:v>
      </x:c>
      <x:c r="I23" s="55" t="n">
        <x:f>IF($D$6="Downside",I24,IF($D$6="Base",I25,I26))</x:f>
        <x:v>4</x:v>
      </x:c>
      <x:c r="J23" s="55" t="n">
        <x:f>IF($D$6="Downside",J24,IF($D$6="Base",J25,J26))</x:f>
        <x:v>4</x:v>
      </x:c>
      <x:c r="K23" s="55" t="n">
        <x:f>IF($D$6="Downside",K24,IF($D$6="Base",K25,K26))</x:f>
        <x:v>4</x:v>
      </x:c>
      <x:c r="L23" s="55" t="n">
        <x:f>IF($D$6="Downside",L24,IF($D$6="Base",L25,L26))</x:f>
        <x:v>4</x:v>
      </x:c>
      <x:c r="M23" s="55" t="n">
        <x:f>IF($D$6="Downside",M24,IF($D$6="Base",M25,M26))</x:f>
        <x:v>4</x:v>
      </x:c>
      <x:c r="N23" s="55" t="n">
        <x:f>IF($D$6="Downside",N24,IF($D$6="Base",N25,N26))</x:f>
        <x:v>4</x:v>
      </x:c>
      <x:c r="O23" s="55" t="n">
        <x:f>IF($D$6="Downside",O24,IF($D$6="Base",O25,O26))</x:f>
        <x:v>4</x:v>
      </x:c>
      <x:c r="P23" s="55" t="n">
        <x:f>IF($D$6="Downside",P24,IF($D$6="Base",P25,P26))</x:f>
        <x:v>4</x:v>
      </x:c>
      <x:c r="Q23" s="55" t="n">
        <x:f>IF($D$6="Downside",Q24,IF($D$6="Base",Q25,Q26))</x:f>
        <x:v>4</x:v>
      </x:c>
      <x:c r="R23" s="55" t="n">
        <x:f>IF($D$6="Downside",R24,IF($D$6="Base",R25,R26))</x:f>
        <x:v>4</x:v>
      </x:c>
      <x:c r="S23" s="55" t="n">
        <x:f>IF($D$6="Downside",S24,IF($D$6="Base",S25,S26))</x:f>
        <x:v>4</x:v>
      </x:c>
      <x:c r="T23" s="55" t="n">
        <x:f>IF($D$6="Downside",T24,IF($D$6="Base",T25,T26))</x:f>
        <x:v>4</x:v>
      </x:c>
      <x:c r="U23" s="55" t="n">
        <x:f>IF($D$6="Downside",U24,IF($D$6="Base",U25,U26))</x:f>
        <x:v>4</x:v>
      </x:c>
      <x:c r="V23" s="55" t="n">
        <x:f>IF($D$6="Downside",V24,IF($D$6="Base",V25,V26))</x:f>
        <x:v>4</x:v>
      </x:c>
      <x:c r="W23" s="55" t="n">
        <x:f>IF($D$6="Downside",W24,IF($D$6="Base",W25,W26))</x:f>
        <x:v>4</x:v>
      </x:c>
      <x:c r="X23" s="55" t="n">
        <x:f>IF($D$6="Downside",X24,IF($D$6="Base",X25,X26))</x:f>
        <x:v>4</x:v>
      </x:c>
      <x:c r="Y23" s="55" t="n">
        <x:f>IF($D$6="Downside",Y24,IF($D$6="Base",Y25,Y26))</x:f>
        <x:v>4</x:v>
      </x:c>
      <x:c r="Z23" s="55" t="n">
        <x:f>IF($D$6="Downside",Z24,IF($D$6="Base",Z25,Z26))</x:f>
        <x:v>4</x:v>
      </x:c>
      <x:c r="AA23" s="55" t="n">
        <x:f>IF($D$6="Downside",AA24,IF($D$6="Base",AA25,AA26))</x:f>
        <x:v>4</x:v>
      </x:c>
      <x:c r="AB23" s="55" t="n">
        <x:f>IF($D$6="Downside",AB24,IF($D$6="Base",AB25,AB26))</x:f>
        <x:v>4</x:v>
      </x:c>
      <x:c r="AC23" s="55" t="n">
        <x:f>IF($D$6="Downside",AC24,IF($D$6="Base",AC25,AC26))</x:f>
        <x:v>4</x:v>
      </x:c>
      <x:c r="AD23" s="55" t="n">
        <x:f>IF($D$6="Downside",AD24,IF($D$6="Base",AD25,AD26))</x:f>
        <x:v>4</x:v>
      </x:c>
      <x:c r="AE23" s="55" t="n">
        <x:f>IF($D$6="Downside",AE24,IF($D$6="Base",AE25,AE26))</x:f>
        <x:v>4</x:v>
      </x:c>
      <x:c r="AF23" s="55" t="n">
        <x:f>IF($D$6="Downside",AF24,IF($D$6="Base",AF25,AF26))</x:f>
        <x:v>4</x:v>
      </x:c>
      <x:c r="AG23" s="55" t="n">
        <x:f>IF($D$6="Downside",AG24,IF($D$6="Base",AG25,AG26))</x:f>
        <x:v>4</x:v>
      </x:c>
      <x:c r="AH23" s="55" t="n">
        <x:f>IF($D$6="Downside",AH24,IF($D$6="Base",AH25,AH26))</x:f>
        <x:v>4</x:v>
      </x:c>
      <x:c r="AI23" s="55" t="n">
        <x:f>IF($D$6="Downside",AI24,IF($D$6="Base",AI25,AI26))</x:f>
        <x:v>4</x:v>
      </x:c>
      <x:c r="AJ23" s="55" t="n">
        <x:f>IF($D$6="Downside",AJ24,IF($D$6="Base",AJ25,AJ26))</x:f>
        <x:v>4</x:v>
      </x:c>
      <x:c r="AK23" s="55" t="n">
        <x:f>IF($D$6="Downside",AK24,IF($D$6="Base",AK25,AK26))</x:f>
        <x:v>4</x:v>
      </x:c>
      <x:c r="AL23" s="55" t="n">
        <x:f>IF($D$6="Downside",AL24,IF($D$6="Base",AL25,AL26))</x:f>
        <x:v>4</x:v>
      </x:c>
    </x:row>
    <x:row r="24">
      <x:c r="A24" s="47" t="str"/>
      <x:c r="B24" s="48" t="str">
        <x:v>Downside</x:v>
      </x:c>
      <x:c r="C24" s="52" t="n">
        <x:v>2</x:v>
      </x:c>
      <x:c r="D24" s="52" t="n">
        <x:v>2</x:v>
      </x:c>
      <x:c r="E24" s="52" t="n">
        <x:v>2</x:v>
      </x:c>
      <x:c r="F24" s="52" t="n">
        <x:v>2</x:v>
      </x:c>
      <x:c r="G24" s="52" t="n">
        <x:v>2</x:v>
      </x:c>
      <x:c r="H24" s="52" t="n">
        <x:v>2</x:v>
      </x:c>
      <x:c r="I24" s="52" t="n">
        <x:v>2</x:v>
      </x:c>
      <x:c r="J24" s="52" t="n">
        <x:v>2</x:v>
      </x:c>
      <x:c r="K24" s="52" t="n">
        <x:v>2</x:v>
      </x:c>
      <x:c r="L24" s="52" t="n">
        <x:v>2</x:v>
      </x:c>
      <x:c r="M24" s="52" t="n">
        <x:v>2</x:v>
      </x:c>
      <x:c r="N24" s="52" t="n">
        <x:v>2</x:v>
      </x:c>
      <x:c r="O24" s="52" t="n">
        <x:v>2</x:v>
      </x:c>
      <x:c r="P24" s="52" t="n">
        <x:v>2</x:v>
      </x:c>
      <x:c r="Q24" s="52" t="n">
        <x:v>2</x:v>
      </x:c>
      <x:c r="R24" s="52" t="n">
        <x:v>2</x:v>
      </x:c>
      <x:c r="S24" s="52" t="n">
        <x:v>2</x:v>
      </x:c>
      <x:c r="T24" s="52" t="n">
        <x:v>2</x:v>
      </x:c>
      <x:c r="U24" s="52" t="n">
        <x:v>2</x:v>
      </x:c>
      <x:c r="V24" s="52" t="n">
        <x:v>2</x:v>
      </x:c>
      <x:c r="W24" s="52" t="n">
        <x:v>2</x:v>
      </x:c>
      <x:c r="X24" s="52" t="n">
        <x:v>2</x:v>
      </x:c>
      <x:c r="Y24" s="52" t="n">
        <x:v>2</x:v>
      </x:c>
      <x:c r="Z24" s="52" t="n">
        <x:v>2</x:v>
      </x:c>
      <x:c r="AA24" s="52" t="n">
        <x:v>2</x:v>
      </x:c>
      <x:c r="AB24" s="52" t="n">
        <x:v>2</x:v>
      </x:c>
      <x:c r="AC24" s="52" t="n">
        <x:v>2</x:v>
      </x:c>
      <x:c r="AD24" s="52" t="n">
        <x:v>2</x:v>
      </x:c>
      <x:c r="AE24" s="52" t="n">
        <x:v>2</x:v>
      </x:c>
      <x:c r="AF24" s="52" t="n">
        <x:v>2</x:v>
      </x:c>
      <x:c r="AG24" s="52" t="n">
        <x:v>2</x:v>
      </x:c>
      <x:c r="AH24" s="52" t="n">
        <x:v>2</x:v>
      </x:c>
      <x:c r="AI24" s="52" t="n">
        <x:v>2</x:v>
      </x:c>
      <x:c r="AJ24" s="52" t="n">
        <x:v>2</x:v>
      </x:c>
      <x:c r="AK24" s="52" t="n">
        <x:v>2</x:v>
      </x:c>
      <x:c r="AL24" s="52" t="n">
        <x:v>2</x:v>
      </x:c>
    </x:row>
    <x:row r="25">
      <x:c r="A25" s="47" t="str"/>
      <x:c r="B25" s="48" t="str">
        <x:v>Base</x:v>
      </x:c>
      <x:c r="C25" s="52" t="n">
        <x:v>4</x:v>
      </x:c>
      <x:c r="D25" s="52" t="n">
        <x:v>4</x:v>
      </x:c>
      <x:c r="E25" s="52" t="n">
        <x:v>4</x:v>
      </x:c>
      <x:c r="F25" s="52" t="n">
        <x:v>4</x:v>
      </x:c>
      <x:c r="G25" s="52" t="n">
        <x:v>4</x:v>
      </x:c>
      <x:c r="H25" s="52" t="n">
        <x:v>4</x:v>
      </x:c>
      <x:c r="I25" s="52" t="n">
        <x:v>4</x:v>
      </x:c>
      <x:c r="J25" s="52" t="n">
        <x:v>4</x:v>
      </x:c>
      <x:c r="K25" s="52" t="n">
        <x:v>4</x:v>
      </x:c>
      <x:c r="L25" s="52" t="n">
        <x:v>4</x:v>
      </x:c>
      <x:c r="M25" s="52" t="n">
        <x:v>4</x:v>
      </x:c>
      <x:c r="N25" s="52" t="n">
        <x:v>4</x:v>
      </x:c>
      <x:c r="O25" s="52" t="n">
        <x:v>4</x:v>
      </x:c>
      <x:c r="P25" s="52" t="n">
        <x:v>4</x:v>
      </x:c>
      <x:c r="Q25" s="52" t="n">
        <x:v>4</x:v>
      </x:c>
      <x:c r="R25" s="52" t="n">
        <x:v>4</x:v>
      </x:c>
      <x:c r="S25" s="52" t="n">
        <x:v>4</x:v>
      </x:c>
      <x:c r="T25" s="52" t="n">
        <x:v>4</x:v>
      </x:c>
      <x:c r="U25" s="52" t="n">
        <x:v>4</x:v>
      </x:c>
      <x:c r="V25" s="52" t="n">
        <x:v>4</x:v>
      </x:c>
      <x:c r="W25" s="52" t="n">
        <x:v>4</x:v>
      </x:c>
      <x:c r="X25" s="52" t="n">
        <x:v>4</x:v>
      </x:c>
      <x:c r="Y25" s="52" t="n">
        <x:v>4</x:v>
      </x:c>
      <x:c r="Z25" s="52" t="n">
        <x:v>4</x:v>
      </x:c>
      <x:c r="AA25" s="52" t="n">
        <x:v>4</x:v>
      </x:c>
      <x:c r="AB25" s="52" t="n">
        <x:v>4</x:v>
      </x:c>
      <x:c r="AC25" s="52" t="n">
        <x:v>4</x:v>
      </x:c>
      <x:c r="AD25" s="52" t="n">
        <x:v>4</x:v>
      </x:c>
      <x:c r="AE25" s="52" t="n">
        <x:v>4</x:v>
      </x:c>
      <x:c r="AF25" s="52" t="n">
        <x:v>4</x:v>
      </x:c>
      <x:c r="AG25" s="52" t="n">
        <x:v>4</x:v>
      </x:c>
      <x:c r="AH25" s="52" t="n">
        <x:v>4</x:v>
      </x:c>
      <x:c r="AI25" s="52" t="n">
        <x:v>4</x:v>
      </x:c>
      <x:c r="AJ25" s="52" t="n">
        <x:v>4</x:v>
      </x:c>
      <x:c r="AK25" s="52" t="n">
        <x:v>4</x:v>
      </x:c>
      <x:c r="AL25" s="52" t="n">
        <x:v>4</x:v>
      </x:c>
    </x:row>
    <x:row r="26">
      <x:c r="A26" s="47" t="str"/>
      <x:c r="B26" s="48" t="str">
        <x:v>Upside</x:v>
      </x:c>
      <x:c r="C26" s="52" t="n">
        <x:v>6</x:v>
      </x:c>
      <x:c r="D26" s="52" t="n">
        <x:v>6</x:v>
      </x:c>
      <x:c r="E26" s="52" t="n">
        <x:v>6</x:v>
      </x:c>
      <x:c r="F26" s="52" t="n">
        <x:v>6</x:v>
      </x:c>
      <x:c r="G26" s="52" t="n">
        <x:v>6</x:v>
      </x:c>
      <x:c r="H26" s="52" t="n">
        <x:v>6</x:v>
      </x:c>
      <x:c r="I26" s="52" t="n">
        <x:v>6</x:v>
      </x:c>
      <x:c r="J26" s="52" t="n">
        <x:v>6</x:v>
      </x:c>
      <x:c r="K26" s="52" t="n">
        <x:v>6</x:v>
      </x:c>
      <x:c r="L26" s="52" t="n">
        <x:v>6</x:v>
      </x:c>
      <x:c r="M26" s="52" t="n">
        <x:v>6</x:v>
      </x:c>
      <x:c r="N26" s="52" t="n">
        <x:v>6</x:v>
      </x:c>
      <x:c r="O26" s="52" t="n">
        <x:v>6</x:v>
      </x:c>
      <x:c r="P26" s="52" t="n">
        <x:v>6</x:v>
      </x:c>
      <x:c r="Q26" s="52" t="n">
        <x:v>6</x:v>
      </x:c>
      <x:c r="R26" s="52" t="n">
        <x:v>6</x:v>
      </x:c>
      <x:c r="S26" s="52" t="n">
        <x:v>6</x:v>
      </x:c>
      <x:c r="T26" s="52" t="n">
        <x:v>6</x:v>
      </x:c>
      <x:c r="U26" s="52" t="n">
        <x:v>6</x:v>
      </x:c>
      <x:c r="V26" s="52" t="n">
        <x:v>6</x:v>
      </x:c>
      <x:c r="W26" s="52" t="n">
        <x:v>6</x:v>
      </x:c>
      <x:c r="X26" s="52" t="n">
        <x:v>6</x:v>
      </x:c>
      <x:c r="Y26" s="52" t="n">
        <x:v>6</x:v>
      </x:c>
      <x:c r="Z26" s="52" t="n">
        <x:v>6</x:v>
      </x:c>
      <x:c r="AA26" s="52" t="n">
        <x:v>6</x:v>
      </x:c>
      <x:c r="AB26" s="52" t="n">
        <x:v>6</x:v>
      </x:c>
      <x:c r="AC26" s="52" t="n">
        <x:v>6</x:v>
      </x:c>
      <x:c r="AD26" s="52" t="n">
        <x:v>6</x:v>
      </x:c>
      <x:c r="AE26" s="52" t="n">
        <x:v>6</x:v>
      </x:c>
      <x:c r="AF26" s="52" t="n">
        <x:v>6</x:v>
      </x:c>
      <x:c r="AG26" s="52" t="n">
        <x:v>6</x:v>
      </x:c>
      <x:c r="AH26" s="52" t="n">
        <x:v>6</x:v>
      </x:c>
      <x:c r="AI26" s="52" t="n">
        <x:v>6</x:v>
      </x:c>
      <x:c r="AJ26" s="52" t="n">
        <x:v>6</x:v>
      </x:c>
      <x:c r="AK26" s="52" t="n">
        <x:v>6</x:v>
      </x:c>
      <x:c r="AL26" s="52" t="n">
        <x:v>6</x:v>
      </x:c>
    </x:row>
    <x:row r="27">
      <x:c r="A27" s="39" t="str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</x:row>
    <x:row r="28">
      <x:c r="A28" s="46" t="str">
        <x:v>Win Rate</x:v>
      </x:c>
      <x:c r="B28" s="46" t="str">
        <x:v>Selected | %</x:v>
      </x:c>
      <x:c r="C28" s="58" t="n">
        <x:f>IF($D$6="Downside",C29,IF($D$6="Base",C30,C31))</x:f>
        <x:v>0.2</x:v>
      </x:c>
      <x:c r="D28" s="58" t="n">
        <x:f>IF($D$6="Downside",D29,IF($D$6="Base",D30,D31))</x:f>
        <x:v>0.2</x:v>
      </x:c>
      <x:c r="E28" s="58" t="n">
        <x:f>IF($D$6="Downside",E29,IF($D$6="Base",E30,E31))</x:f>
        <x:v>0.2</x:v>
      </x:c>
      <x:c r="F28" s="58" t="n">
        <x:f>IF($D$6="Downside",F29,IF($D$6="Base",F30,F31))</x:f>
        <x:v>0.2</x:v>
      </x:c>
      <x:c r="G28" s="58" t="n">
        <x:f>IF($D$6="Downside",G29,IF($D$6="Base",G30,G31))</x:f>
        <x:v>0.2</x:v>
      </x:c>
      <x:c r="H28" s="58" t="n">
        <x:f>IF($D$6="Downside",H29,IF($D$6="Base",H30,H31))</x:f>
        <x:v>0.2</x:v>
      </x:c>
      <x:c r="I28" s="58" t="n">
        <x:f>IF($D$6="Downside",I29,IF($D$6="Base",I30,I31))</x:f>
        <x:v>0.2</x:v>
      </x:c>
      <x:c r="J28" s="58" t="n">
        <x:f>IF($D$6="Downside",J29,IF($D$6="Base",J30,J31))</x:f>
        <x:v>0.2</x:v>
      </x:c>
      <x:c r="K28" s="58" t="n">
        <x:f>IF($D$6="Downside",K29,IF($D$6="Base",K30,K31))</x:f>
        <x:v>0.2</x:v>
      </x:c>
      <x:c r="L28" s="58" t="n">
        <x:f>IF($D$6="Downside",L29,IF($D$6="Base",L30,L31))</x:f>
        <x:v>0.2</x:v>
      </x:c>
      <x:c r="M28" s="58" t="n">
        <x:f>IF($D$6="Downside",M29,IF($D$6="Base",M30,M31))</x:f>
        <x:v>0.2</x:v>
      </x:c>
      <x:c r="N28" s="58" t="n">
        <x:f>IF($D$6="Downside",N29,IF($D$6="Base",N30,N31))</x:f>
        <x:v>0.2</x:v>
      </x:c>
      <x:c r="O28" s="58" t="n">
        <x:f>IF($D$6="Downside",O29,IF($D$6="Base",O30,O31))</x:f>
        <x:v>0.2</x:v>
      </x:c>
      <x:c r="P28" s="58" t="n">
        <x:f>IF($D$6="Downside",P29,IF($D$6="Base",P30,P31))</x:f>
        <x:v>0.2</x:v>
      </x:c>
      <x:c r="Q28" s="58" t="n">
        <x:f>IF($D$6="Downside",Q29,IF($D$6="Base",Q30,Q31))</x:f>
        <x:v>0.2</x:v>
      </x:c>
      <x:c r="R28" s="58" t="n">
        <x:f>IF($D$6="Downside",R29,IF($D$6="Base",R30,R31))</x:f>
        <x:v>0.2</x:v>
      </x:c>
      <x:c r="S28" s="58" t="n">
        <x:f>IF($D$6="Downside",S29,IF($D$6="Base",S30,S31))</x:f>
        <x:v>0.2</x:v>
      </x:c>
      <x:c r="T28" s="58" t="n">
        <x:f>IF($D$6="Downside",T29,IF($D$6="Base",T30,T31))</x:f>
        <x:v>0.2</x:v>
      </x:c>
      <x:c r="U28" s="58" t="n">
        <x:f>IF($D$6="Downside",U29,IF($D$6="Base",U30,U31))</x:f>
        <x:v>0.2</x:v>
      </x:c>
      <x:c r="V28" s="58" t="n">
        <x:f>IF($D$6="Downside",V29,IF($D$6="Base",V30,V31))</x:f>
        <x:v>0.2</x:v>
      </x:c>
      <x:c r="W28" s="58" t="n">
        <x:f>IF($D$6="Downside",W29,IF($D$6="Base",W30,W31))</x:f>
        <x:v>0.2</x:v>
      </x:c>
      <x:c r="X28" s="58" t="n">
        <x:f>IF($D$6="Downside",X29,IF($D$6="Base",X30,X31))</x:f>
        <x:v>0.2</x:v>
      </x:c>
      <x:c r="Y28" s="58" t="n">
        <x:f>IF($D$6="Downside",Y29,IF($D$6="Base",Y30,Y31))</x:f>
        <x:v>0.2</x:v>
      </x:c>
      <x:c r="Z28" s="58" t="n">
        <x:f>IF($D$6="Downside",Z29,IF($D$6="Base",Z30,Z31))</x:f>
        <x:v>0.2</x:v>
      </x:c>
      <x:c r="AA28" s="58" t="n">
        <x:f>IF($D$6="Downside",AA29,IF($D$6="Base",AA30,AA31))</x:f>
        <x:v>0.2</x:v>
      </x:c>
      <x:c r="AB28" s="58" t="n">
        <x:f>IF($D$6="Downside",AB29,IF($D$6="Base",AB30,AB31))</x:f>
        <x:v>0.2</x:v>
      </x:c>
      <x:c r="AC28" s="58" t="n">
        <x:f>IF($D$6="Downside",AC29,IF($D$6="Base",AC30,AC31))</x:f>
        <x:v>0.2</x:v>
      </x:c>
      <x:c r="AD28" s="58" t="n">
        <x:f>IF($D$6="Downside",AD29,IF($D$6="Base",AD30,AD31))</x:f>
        <x:v>0.2</x:v>
      </x:c>
      <x:c r="AE28" s="58" t="n">
        <x:f>IF($D$6="Downside",AE29,IF($D$6="Base",AE30,AE31))</x:f>
        <x:v>0.2</x:v>
      </x:c>
      <x:c r="AF28" s="58" t="n">
        <x:f>IF($D$6="Downside",AF29,IF($D$6="Base",AF30,AF31))</x:f>
        <x:v>0.2</x:v>
      </x:c>
      <x:c r="AG28" s="58" t="n">
        <x:f>IF($D$6="Downside",AG29,IF($D$6="Base",AG30,AG31))</x:f>
        <x:v>0.2</x:v>
      </x:c>
      <x:c r="AH28" s="58" t="n">
        <x:f>IF($D$6="Downside",AH29,IF($D$6="Base",AH30,AH31))</x:f>
        <x:v>0.2</x:v>
      </x:c>
      <x:c r="AI28" s="58" t="n">
        <x:f>IF($D$6="Downside",AI29,IF($D$6="Base",AI30,AI31))</x:f>
        <x:v>0.2</x:v>
      </x:c>
      <x:c r="AJ28" s="58" t="n">
        <x:f>IF($D$6="Downside",AJ29,IF($D$6="Base",AJ30,AJ31))</x:f>
        <x:v>0.2</x:v>
      </x:c>
      <x:c r="AK28" s="58" t="n">
        <x:f>IF($D$6="Downside",AK29,IF($D$6="Base",AK30,AK31))</x:f>
        <x:v>0.2</x:v>
      </x:c>
      <x:c r="AL28" s="58" t="n">
        <x:f>IF($D$6="Downside",AL29,IF($D$6="Base",AL30,AL31))</x:f>
        <x:v>0.2</x:v>
      </x:c>
    </x:row>
    <x:row r="29">
      <x:c r="A29" s="47" t="str"/>
      <x:c r="B29" s="48" t="str">
        <x:v>Downside</x:v>
      </x:c>
      <x:c r="C29" s="57" t="n">
        <x:v>0.1</x:v>
      </x:c>
      <x:c r="D29" s="57" t="n">
        <x:v>0.1</x:v>
      </x:c>
      <x:c r="E29" s="57" t="n">
        <x:v>0.1</x:v>
      </x:c>
      <x:c r="F29" s="57" t="n">
        <x:v>0.1</x:v>
      </x:c>
      <x:c r="G29" s="57" t="n">
        <x:v>0.1</x:v>
      </x:c>
      <x:c r="H29" s="57" t="n">
        <x:v>0.1</x:v>
      </x:c>
      <x:c r="I29" s="57" t="n">
        <x:v>0.1</x:v>
      </x:c>
      <x:c r="J29" s="57" t="n">
        <x:v>0.1</x:v>
      </x:c>
      <x:c r="K29" s="57" t="n">
        <x:v>0.1</x:v>
      </x:c>
      <x:c r="L29" s="57" t="n">
        <x:v>0.1</x:v>
      </x:c>
      <x:c r="M29" s="57" t="n">
        <x:v>0.1</x:v>
      </x:c>
      <x:c r="N29" s="57" t="n">
        <x:v>0.1</x:v>
      </x:c>
      <x:c r="O29" s="57" t="n">
        <x:v>0.1</x:v>
      </x:c>
      <x:c r="P29" s="57" t="n">
        <x:v>0.1</x:v>
      </x:c>
      <x:c r="Q29" s="57" t="n">
        <x:v>0.1</x:v>
      </x:c>
      <x:c r="R29" s="57" t="n">
        <x:v>0.1</x:v>
      </x:c>
      <x:c r="S29" s="57" t="n">
        <x:v>0.1</x:v>
      </x:c>
      <x:c r="T29" s="57" t="n">
        <x:v>0.1</x:v>
      </x:c>
      <x:c r="U29" s="57" t="n">
        <x:v>0.1</x:v>
      </x:c>
      <x:c r="V29" s="57" t="n">
        <x:v>0.1</x:v>
      </x:c>
      <x:c r="W29" s="57" t="n">
        <x:v>0.1</x:v>
      </x:c>
      <x:c r="X29" s="57" t="n">
        <x:v>0.1</x:v>
      </x:c>
      <x:c r="Y29" s="57" t="n">
        <x:v>0.1</x:v>
      </x:c>
      <x:c r="Z29" s="57" t="n">
        <x:v>0.1</x:v>
      </x:c>
      <x:c r="AA29" s="57" t="n">
        <x:v>0.1</x:v>
      </x:c>
      <x:c r="AB29" s="57" t="n">
        <x:v>0.1</x:v>
      </x:c>
      <x:c r="AC29" s="57" t="n">
        <x:v>0.1</x:v>
      </x:c>
      <x:c r="AD29" s="57" t="n">
        <x:v>0.1</x:v>
      </x:c>
      <x:c r="AE29" s="57" t="n">
        <x:v>0.1</x:v>
      </x:c>
      <x:c r="AF29" s="57" t="n">
        <x:v>0.1</x:v>
      </x:c>
      <x:c r="AG29" s="57" t="n">
        <x:v>0.1</x:v>
      </x:c>
      <x:c r="AH29" s="57" t="n">
        <x:v>0.1</x:v>
      </x:c>
      <x:c r="AI29" s="57" t="n">
        <x:v>0.1</x:v>
      </x:c>
      <x:c r="AJ29" s="57" t="n">
        <x:v>0.1</x:v>
      </x:c>
      <x:c r="AK29" s="57" t="n">
        <x:v>0.1</x:v>
      </x:c>
      <x:c r="AL29" s="57" t="n">
        <x:v>0.1</x:v>
      </x:c>
    </x:row>
    <x:row r="30">
      <x:c r="A30" s="47" t="str"/>
      <x:c r="B30" s="48" t="str">
        <x:v>Base</x:v>
      </x:c>
      <x:c r="C30" s="57" t="n">
        <x:v>0.2</x:v>
      </x:c>
      <x:c r="D30" s="57" t="n">
        <x:v>0.2</x:v>
      </x:c>
      <x:c r="E30" s="57" t="n">
        <x:v>0.2</x:v>
      </x:c>
      <x:c r="F30" s="57" t="n">
        <x:v>0.2</x:v>
      </x:c>
      <x:c r="G30" s="57" t="n">
        <x:v>0.2</x:v>
      </x:c>
      <x:c r="H30" s="57" t="n">
        <x:v>0.2</x:v>
      </x:c>
      <x:c r="I30" s="57" t="n">
        <x:v>0.2</x:v>
      </x:c>
      <x:c r="J30" s="57" t="n">
        <x:v>0.2</x:v>
      </x:c>
      <x:c r="K30" s="57" t="n">
        <x:v>0.2</x:v>
      </x:c>
      <x:c r="L30" s="57" t="n">
        <x:v>0.2</x:v>
      </x:c>
      <x:c r="M30" s="57" t="n">
        <x:v>0.2</x:v>
      </x:c>
      <x:c r="N30" s="57" t="n">
        <x:v>0.2</x:v>
      </x:c>
      <x:c r="O30" s="57" t="n">
        <x:v>0.2</x:v>
      </x:c>
      <x:c r="P30" s="57" t="n">
        <x:v>0.2</x:v>
      </x:c>
      <x:c r="Q30" s="57" t="n">
        <x:v>0.2</x:v>
      </x:c>
      <x:c r="R30" s="57" t="n">
        <x:v>0.2</x:v>
      </x:c>
      <x:c r="S30" s="57" t="n">
        <x:v>0.2</x:v>
      </x:c>
      <x:c r="T30" s="57" t="n">
        <x:v>0.2</x:v>
      </x:c>
      <x:c r="U30" s="57" t="n">
        <x:v>0.2</x:v>
      </x:c>
      <x:c r="V30" s="57" t="n">
        <x:v>0.2</x:v>
      </x:c>
      <x:c r="W30" s="57" t="n">
        <x:v>0.2</x:v>
      </x:c>
      <x:c r="X30" s="57" t="n">
        <x:v>0.2</x:v>
      </x:c>
      <x:c r="Y30" s="57" t="n">
        <x:v>0.2</x:v>
      </x:c>
      <x:c r="Z30" s="57" t="n">
        <x:v>0.2</x:v>
      </x:c>
      <x:c r="AA30" s="57" t="n">
        <x:v>0.2</x:v>
      </x:c>
      <x:c r="AB30" s="57" t="n">
        <x:v>0.2</x:v>
      </x:c>
      <x:c r="AC30" s="57" t="n">
        <x:v>0.2</x:v>
      </x:c>
      <x:c r="AD30" s="57" t="n">
        <x:v>0.2</x:v>
      </x:c>
      <x:c r="AE30" s="57" t="n">
        <x:v>0.2</x:v>
      </x:c>
      <x:c r="AF30" s="57" t="n">
        <x:v>0.2</x:v>
      </x:c>
      <x:c r="AG30" s="57" t="n">
        <x:v>0.2</x:v>
      </x:c>
      <x:c r="AH30" s="57" t="n">
        <x:v>0.2</x:v>
      </x:c>
      <x:c r="AI30" s="57" t="n">
        <x:v>0.2</x:v>
      </x:c>
      <x:c r="AJ30" s="57" t="n">
        <x:v>0.2</x:v>
      </x:c>
      <x:c r="AK30" s="57" t="n">
        <x:v>0.2</x:v>
      </x:c>
      <x:c r="AL30" s="57" t="n">
        <x:v>0.2</x:v>
      </x:c>
    </x:row>
    <x:row r="31">
      <x:c r="A31" s="47" t="str"/>
      <x:c r="B31" s="48" t="str">
        <x:v>Upside</x:v>
      </x:c>
      <x:c r="C31" s="57" t="n">
        <x:v>0.28</x:v>
      </x:c>
      <x:c r="D31" s="57" t="n">
        <x:v>0.28</x:v>
      </x:c>
      <x:c r="E31" s="57" t="n">
        <x:v>0.28</x:v>
      </x:c>
      <x:c r="F31" s="57" t="n">
        <x:v>0.28</x:v>
      </x:c>
      <x:c r="G31" s="57" t="n">
        <x:v>0.28</x:v>
      </x:c>
      <x:c r="H31" s="57" t="n">
        <x:v>0.28</x:v>
      </x:c>
      <x:c r="I31" s="57" t="n">
        <x:v>0.28</x:v>
      </x:c>
      <x:c r="J31" s="57" t="n">
        <x:v>0.28</x:v>
      </x:c>
      <x:c r="K31" s="57" t="n">
        <x:v>0.28</x:v>
      </x:c>
      <x:c r="L31" s="57" t="n">
        <x:v>0.28</x:v>
      </x:c>
      <x:c r="M31" s="57" t="n">
        <x:v>0.28</x:v>
      </x:c>
      <x:c r="N31" s="57" t="n">
        <x:v>0.28</x:v>
      </x:c>
      <x:c r="O31" s="57" t="n">
        <x:v>0.28</x:v>
      </x:c>
      <x:c r="P31" s="57" t="n">
        <x:v>0.28</x:v>
      </x:c>
      <x:c r="Q31" s="57" t="n">
        <x:v>0.28</x:v>
      </x:c>
      <x:c r="R31" s="57" t="n">
        <x:v>0.28</x:v>
      </x:c>
      <x:c r="S31" s="57" t="n">
        <x:v>0.28</x:v>
      </x:c>
      <x:c r="T31" s="57" t="n">
        <x:v>0.28</x:v>
      </x:c>
      <x:c r="U31" s="57" t="n">
        <x:v>0.28</x:v>
      </x:c>
      <x:c r="V31" s="57" t="n">
        <x:v>0.28</x:v>
      </x:c>
      <x:c r="W31" s="57" t="n">
        <x:v>0.28</x:v>
      </x:c>
      <x:c r="X31" s="57" t="n">
        <x:v>0.28</x:v>
      </x:c>
      <x:c r="Y31" s="57" t="n">
        <x:v>0.28</x:v>
      </x:c>
      <x:c r="Z31" s="57" t="n">
        <x:v>0.28</x:v>
      </x:c>
      <x:c r="AA31" s="57" t="n">
        <x:v>0.28</x:v>
      </x:c>
      <x:c r="AB31" s="57" t="n">
        <x:v>0.28</x:v>
      </x:c>
      <x:c r="AC31" s="57" t="n">
        <x:v>0.28</x:v>
      </x:c>
      <x:c r="AD31" s="57" t="n">
        <x:v>0.28</x:v>
      </x:c>
      <x:c r="AE31" s="57" t="n">
        <x:v>0.28</x:v>
      </x:c>
      <x:c r="AF31" s="57" t="n">
        <x:v>0.28</x:v>
      </x:c>
      <x:c r="AG31" s="57" t="n">
        <x:v>0.28</x:v>
      </x:c>
      <x:c r="AH31" s="57" t="n">
        <x:v>0.28</x:v>
      </x:c>
      <x:c r="AI31" s="57" t="n">
        <x:v>0.28</x:v>
      </x:c>
      <x:c r="AJ31" s="57" t="n">
        <x:v>0.28</x:v>
      </x:c>
      <x:c r="AK31" s="57" t="n">
        <x:v>0.28</x:v>
      </x:c>
      <x:c r="AL31" s="57" t="n">
        <x:v>0.28</x:v>
      </x:c>
    </x:row>
    <x:row r="32">
      <x:c r="A32" s="39" t="str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</x:row>
    <x:row r="33">
      <x:c r="A33" s="46" t="str">
        <x:v>Monthly Logo Churn</x:v>
      </x:c>
      <x:c r="B33" s="46" t="str">
        <x:v>Selected | %</x:v>
      </x:c>
      <x:c r="C33" s="58" t="n">
        <x:f>IF($D$6="Downside",C34,IF($D$6="Base",C35,C36))</x:f>
        <x:v>0.025</x:v>
      </x:c>
      <x:c r="D33" s="58" t="n">
        <x:f>IF($D$6="Downside",D34,IF($D$6="Base",D35,D36))</x:f>
        <x:v>0.025</x:v>
      </x:c>
      <x:c r="E33" s="58" t="n">
        <x:f>IF($D$6="Downside",E34,IF($D$6="Base",E35,E36))</x:f>
        <x:v>0.025</x:v>
      </x:c>
      <x:c r="F33" s="58" t="n">
        <x:f>IF($D$6="Downside",F34,IF($D$6="Base",F35,F36))</x:f>
        <x:v>0.025</x:v>
      </x:c>
      <x:c r="G33" s="58" t="n">
        <x:f>IF($D$6="Downside",G34,IF($D$6="Base",G35,G36))</x:f>
        <x:v>0.025</x:v>
      </x:c>
      <x:c r="H33" s="58" t="n">
        <x:f>IF($D$6="Downside",H34,IF($D$6="Base",H35,H36))</x:f>
        <x:v>0.025</x:v>
      </x:c>
      <x:c r="I33" s="58" t="n">
        <x:f>IF($D$6="Downside",I34,IF($D$6="Base",I35,I36))</x:f>
        <x:v>0.025</x:v>
      </x:c>
      <x:c r="J33" s="58" t="n">
        <x:f>IF($D$6="Downside",J34,IF($D$6="Base",J35,J36))</x:f>
        <x:v>0.025</x:v>
      </x:c>
      <x:c r="K33" s="58" t="n">
        <x:f>IF($D$6="Downside",K34,IF($D$6="Base",K35,K36))</x:f>
        <x:v>0.025</x:v>
      </x:c>
      <x:c r="L33" s="58" t="n">
        <x:f>IF($D$6="Downside",L34,IF($D$6="Base",L35,L36))</x:f>
        <x:v>0.025</x:v>
      </x:c>
      <x:c r="M33" s="58" t="n">
        <x:f>IF($D$6="Downside",M34,IF($D$6="Base",M35,M36))</x:f>
        <x:v>0.025</x:v>
      </x:c>
      <x:c r="N33" s="58" t="n">
        <x:f>IF($D$6="Downside",N34,IF($D$6="Base",N35,N36))</x:f>
        <x:v>0.025</x:v>
      </x:c>
      <x:c r="O33" s="58" t="n">
        <x:f>IF($D$6="Downside",O34,IF($D$6="Base",O35,O36))</x:f>
        <x:v>0.025</x:v>
      </x:c>
      <x:c r="P33" s="58" t="n">
        <x:f>IF($D$6="Downside",P34,IF($D$6="Base",P35,P36))</x:f>
        <x:v>0.025</x:v>
      </x:c>
      <x:c r="Q33" s="58" t="n">
        <x:f>IF($D$6="Downside",Q34,IF($D$6="Base",Q35,Q36))</x:f>
        <x:v>0.025</x:v>
      </x:c>
      <x:c r="R33" s="58" t="n">
        <x:f>IF($D$6="Downside",R34,IF($D$6="Base",R35,R36))</x:f>
        <x:v>0.025</x:v>
      </x:c>
      <x:c r="S33" s="58" t="n">
        <x:f>IF($D$6="Downside",S34,IF($D$6="Base",S35,S36))</x:f>
        <x:v>0.025</x:v>
      </x:c>
      <x:c r="T33" s="58" t="n">
        <x:f>IF($D$6="Downside",T34,IF($D$6="Base",T35,T36))</x:f>
        <x:v>0.025</x:v>
      </x:c>
      <x:c r="U33" s="58" t="n">
        <x:f>IF($D$6="Downside",U34,IF($D$6="Base",U35,U36))</x:f>
        <x:v>0.025</x:v>
      </x:c>
      <x:c r="V33" s="58" t="n">
        <x:f>IF($D$6="Downside",V34,IF($D$6="Base",V35,V36))</x:f>
        <x:v>0.025</x:v>
      </x:c>
      <x:c r="W33" s="58" t="n">
        <x:f>IF($D$6="Downside",W34,IF($D$6="Base",W35,W36))</x:f>
        <x:v>0.025</x:v>
      </x:c>
      <x:c r="X33" s="58" t="n">
        <x:f>IF($D$6="Downside",X34,IF($D$6="Base",X35,X36))</x:f>
        <x:v>0.025</x:v>
      </x:c>
      <x:c r="Y33" s="58" t="n">
        <x:f>IF($D$6="Downside",Y34,IF($D$6="Base",Y35,Y36))</x:f>
        <x:v>0.025</x:v>
      </x:c>
      <x:c r="Z33" s="58" t="n">
        <x:f>IF($D$6="Downside",Z34,IF($D$6="Base",Z35,Z36))</x:f>
        <x:v>0.025</x:v>
      </x:c>
      <x:c r="AA33" s="58" t="n">
        <x:f>IF($D$6="Downside",AA34,IF($D$6="Base",AA35,AA36))</x:f>
        <x:v>0.025</x:v>
      </x:c>
      <x:c r="AB33" s="58" t="n">
        <x:f>IF($D$6="Downside",AB34,IF($D$6="Base",AB35,AB36))</x:f>
        <x:v>0.025</x:v>
      </x:c>
      <x:c r="AC33" s="58" t="n">
        <x:f>IF($D$6="Downside",AC34,IF($D$6="Base",AC35,AC36))</x:f>
        <x:v>0.025</x:v>
      </x:c>
      <x:c r="AD33" s="58" t="n">
        <x:f>IF($D$6="Downside",AD34,IF($D$6="Base",AD35,AD36))</x:f>
        <x:v>0.025</x:v>
      </x:c>
      <x:c r="AE33" s="58" t="n">
        <x:f>IF($D$6="Downside",AE34,IF($D$6="Base",AE35,AE36))</x:f>
        <x:v>0.025</x:v>
      </x:c>
      <x:c r="AF33" s="58" t="n">
        <x:f>IF($D$6="Downside",AF34,IF($D$6="Base",AF35,AF36))</x:f>
        <x:v>0.025</x:v>
      </x:c>
      <x:c r="AG33" s="58" t="n">
        <x:f>IF($D$6="Downside",AG34,IF($D$6="Base",AG35,AG36))</x:f>
        <x:v>0.025</x:v>
      </x:c>
      <x:c r="AH33" s="58" t="n">
        <x:f>IF($D$6="Downside",AH34,IF($D$6="Base",AH35,AH36))</x:f>
        <x:v>0.025</x:v>
      </x:c>
      <x:c r="AI33" s="58" t="n">
        <x:f>IF($D$6="Downside",AI34,IF($D$6="Base",AI35,AI36))</x:f>
        <x:v>0.025</x:v>
      </x:c>
      <x:c r="AJ33" s="58" t="n">
        <x:f>IF($D$6="Downside",AJ34,IF($D$6="Base",AJ35,AJ36))</x:f>
        <x:v>0.025</x:v>
      </x:c>
      <x:c r="AK33" s="58" t="n">
        <x:f>IF($D$6="Downside",AK34,IF($D$6="Base",AK35,AK36))</x:f>
        <x:v>0.025</x:v>
      </x:c>
      <x:c r="AL33" s="58" t="n">
        <x:f>IF($D$6="Downside",AL34,IF($D$6="Base",AL35,AL36))</x:f>
        <x:v>0.025</x:v>
      </x:c>
    </x:row>
    <x:row r="34">
      <x:c r="A34" s="47" t="str"/>
      <x:c r="B34" s="48" t="str">
        <x:v>Downside</x:v>
      </x:c>
      <x:c r="C34" s="57" t="n">
        <x:v>0.04</x:v>
      </x:c>
      <x:c r="D34" s="57" t="n">
        <x:v>0.04</x:v>
      </x:c>
      <x:c r="E34" s="57" t="n">
        <x:v>0.04</x:v>
      </x:c>
      <x:c r="F34" s="57" t="n">
        <x:v>0.04</x:v>
      </x:c>
      <x:c r="G34" s="57" t="n">
        <x:v>0.04</x:v>
      </x:c>
      <x:c r="H34" s="57" t="n">
        <x:v>0.04</x:v>
      </x:c>
      <x:c r="I34" s="57" t="n">
        <x:v>0.04</x:v>
      </x:c>
      <x:c r="J34" s="57" t="n">
        <x:v>0.04</x:v>
      </x:c>
      <x:c r="K34" s="57" t="n">
        <x:v>0.04</x:v>
      </x:c>
      <x:c r="L34" s="57" t="n">
        <x:v>0.04</x:v>
      </x:c>
      <x:c r="M34" s="57" t="n">
        <x:v>0.04</x:v>
      </x:c>
      <x:c r="N34" s="57" t="n">
        <x:v>0.04</x:v>
      </x:c>
      <x:c r="O34" s="57" t="n">
        <x:v>0.04</x:v>
      </x:c>
      <x:c r="P34" s="57" t="n">
        <x:v>0.04</x:v>
      </x:c>
      <x:c r="Q34" s="57" t="n">
        <x:v>0.04</x:v>
      </x:c>
      <x:c r="R34" s="57" t="n">
        <x:v>0.04</x:v>
      </x:c>
      <x:c r="S34" s="57" t="n">
        <x:v>0.04</x:v>
      </x:c>
      <x:c r="T34" s="57" t="n">
        <x:v>0.04</x:v>
      </x:c>
      <x:c r="U34" s="57" t="n">
        <x:v>0.04</x:v>
      </x:c>
      <x:c r="V34" s="57" t="n">
        <x:v>0.04</x:v>
      </x:c>
      <x:c r="W34" s="57" t="n">
        <x:v>0.04</x:v>
      </x:c>
      <x:c r="X34" s="57" t="n">
        <x:v>0.04</x:v>
      </x:c>
      <x:c r="Y34" s="57" t="n">
        <x:v>0.04</x:v>
      </x:c>
      <x:c r="Z34" s="57" t="n">
        <x:v>0.04</x:v>
      </x:c>
      <x:c r="AA34" s="57" t="n">
        <x:v>0.04</x:v>
      </x:c>
      <x:c r="AB34" s="57" t="n">
        <x:v>0.04</x:v>
      </x:c>
      <x:c r="AC34" s="57" t="n">
        <x:v>0.04</x:v>
      </x:c>
      <x:c r="AD34" s="57" t="n">
        <x:v>0.04</x:v>
      </x:c>
      <x:c r="AE34" s="57" t="n">
        <x:v>0.04</x:v>
      </x:c>
      <x:c r="AF34" s="57" t="n">
        <x:v>0.04</x:v>
      </x:c>
      <x:c r="AG34" s="57" t="n">
        <x:v>0.04</x:v>
      </x:c>
      <x:c r="AH34" s="57" t="n">
        <x:v>0.04</x:v>
      </x:c>
      <x:c r="AI34" s="57" t="n">
        <x:v>0.04</x:v>
      </x:c>
      <x:c r="AJ34" s="57" t="n">
        <x:v>0.04</x:v>
      </x:c>
      <x:c r="AK34" s="57" t="n">
        <x:v>0.04</x:v>
      </x:c>
      <x:c r="AL34" s="57" t="n">
        <x:v>0.04</x:v>
      </x:c>
    </x:row>
    <x:row r="35">
      <x:c r="A35" s="47" t="str"/>
      <x:c r="B35" s="48" t="str">
        <x:v>Base</x:v>
      </x:c>
      <x:c r="C35" s="57" t="n">
        <x:v>0.025</x:v>
      </x:c>
      <x:c r="D35" s="57" t="n">
        <x:v>0.025</x:v>
      </x:c>
      <x:c r="E35" s="57" t="n">
        <x:v>0.025</x:v>
      </x:c>
      <x:c r="F35" s="57" t="n">
        <x:v>0.025</x:v>
      </x:c>
      <x:c r="G35" s="57" t="n">
        <x:v>0.025</x:v>
      </x:c>
      <x:c r="H35" s="57" t="n">
        <x:v>0.025</x:v>
      </x:c>
      <x:c r="I35" s="57" t="n">
        <x:v>0.025</x:v>
      </x:c>
      <x:c r="J35" s="57" t="n">
        <x:v>0.025</x:v>
      </x:c>
      <x:c r="K35" s="57" t="n">
        <x:v>0.025</x:v>
      </x:c>
      <x:c r="L35" s="57" t="n">
        <x:v>0.025</x:v>
      </x:c>
      <x:c r="M35" s="57" t="n">
        <x:v>0.025</x:v>
      </x:c>
      <x:c r="N35" s="57" t="n">
        <x:v>0.025</x:v>
      </x:c>
      <x:c r="O35" s="57" t="n">
        <x:v>0.025</x:v>
      </x:c>
      <x:c r="P35" s="57" t="n">
        <x:v>0.025</x:v>
      </x:c>
      <x:c r="Q35" s="57" t="n">
        <x:v>0.025</x:v>
      </x:c>
      <x:c r="R35" s="57" t="n">
        <x:v>0.025</x:v>
      </x:c>
      <x:c r="S35" s="57" t="n">
        <x:v>0.025</x:v>
      </x:c>
      <x:c r="T35" s="57" t="n">
        <x:v>0.025</x:v>
      </x:c>
      <x:c r="U35" s="57" t="n">
        <x:v>0.025</x:v>
      </x:c>
      <x:c r="V35" s="57" t="n">
        <x:v>0.025</x:v>
      </x:c>
      <x:c r="W35" s="57" t="n">
        <x:v>0.025</x:v>
      </x:c>
      <x:c r="X35" s="57" t="n">
        <x:v>0.025</x:v>
      </x:c>
      <x:c r="Y35" s="57" t="n">
        <x:v>0.025</x:v>
      </x:c>
      <x:c r="Z35" s="57" t="n">
        <x:v>0.025</x:v>
      </x:c>
      <x:c r="AA35" s="57" t="n">
        <x:v>0.025</x:v>
      </x:c>
      <x:c r="AB35" s="57" t="n">
        <x:v>0.025</x:v>
      </x:c>
      <x:c r="AC35" s="57" t="n">
        <x:v>0.025</x:v>
      </x:c>
      <x:c r="AD35" s="57" t="n">
        <x:v>0.025</x:v>
      </x:c>
      <x:c r="AE35" s="57" t="n">
        <x:v>0.025</x:v>
      </x:c>
      <x:c r="AF35" s="57" t="n">
        <x:v>0.025</x:v>
      </x:c>
      <x:c r="AG35" s="57" t="n">
        <x:v>0.025</x:v>
      </x:c>
      <x:c r="AH35" s="57" t="n">
        <x:v>0.025</x:v>
      </x:c>
      <x:c r="AI35" s="57" t="n">
        <x:v>0.025</x:v>
      </x:c>
      <x:c r="AJ35" s="57" t="n">
        <x:v>0.025</x:v>
      </x:c>
      <x:c r="AK35" s="57" t="n">
        <x:v>0.025</x:v>
      </x:c>
      <x:c r="AL35" s="57" t="n">
        <x:v>0.025</x:v>
      </x:c>
    </x:row>
    <x:row r="36">
      <x:c r="A36" s="47" t="str"/>
      <x:c r="B36" s="48" t="str">
        <x:v>Upside</x:v>
      </x:c>
      <x:c r="C36" s="57" t="n">
        <x:v>0.015</x:v>
      </x:c>
      <x:c r="D36" s="57" t="n">
        <x:v>0.015</x:v>
      </x:c>
      <x:c r="E36" s="57" t="n">
        <x:v>0.015</x:v>
      </x:c>
      <x:c r="F36" s="57" t="n">
        <x:v>0.015</x:v>
      </x:c>
      <x:c r="G36" s="57" t="n">
        <x:v>0.015</x:v>
      </x:c>
      <x:c r="H36" s="57" t="n">
        <x:v>0.015</x:v>
      </x:c>
      <x:c r="I36" s="57" t="n">
        <x:v>0.015</x:v>
      </x:c>
      <x:c r="J36" s="57" t="n">
        <x:v>0.015</x:v>
      </x:c>
      <x:c r="K36" s="57" t="n">
        <x:v>0.015</x:v>
      </x:c>
      <x:c r="L36" s="57" t="n">
        <x:v>0.015</x:v>
      </x:c>
      <x:c r="M36" s="57" t="n">
        <x:v>0.015</x:v>
      </x:c>
      <x:c r="N36" s="57" t="n">
        <x:v>0.015</x:v>
      </x:c>
      <x:c r="O36" s="57" t="n">
        <x:v>0.015</x:v>
      </x:c>
      <x:c r="P36" s="57" t="n">
        <x:v>0.015</x:v>
      </x:c>
      <x:c r="Q36" s="57" t="n">
        <x:v>0.015</x:v>
      </x:c>
      <x:c r="R36" s="57" t="n">
        <x:v>0.015</x:v>
      </x:c>
      <x:c r="S36" s="57" t="n">
        <x:v>0.015</x:v>
      </x:c>
      <x:c r="T36" s="57" t="n">
        <x:v>0.015</x:v>
      </x:c>
      <x:c r="U36" s="57" t="n">
        <x:v>0.015</x:v>
      </x:c>
      <x:c r="V36" s="57" t="n">
        <x:v>0.015</x:v>
      </x:c>
      <x:c r="W36" s="57" t="n">
        <x:v>0.015</x:v>
      </x:c>
      <x:c r="X36" s="57" t="n">
        <x:v>0.015</x:v>
      </x:c>
      <x:c r="Y36" s="57" t="n">
        <x:v>0.015</x:v>
      </x:c>
      <x:c r="Z36" s="57" t="n">
        <x:v>0.015</x:v>
      </x:c>
      <x:c r="AA36" s="57" t="n">
        <x:v>0.015</x:v>
      </x:c>
      <x:c r="AB36" s="57" t="n">
        <x:v>0.015</x:v>
      </x:c>
      <x:c r="AC36" s="57" t="n">
        <x:v>0.015</x:v>
      </x:c>
      <x:c r="AD36" s="57" t="n">
        <x:v>0.015</x:v>
      </x:c>
      <x:c r="AE36" s="57" t="n">
        <x:v>0.015</x:v>
      </x:c>
      <x:c r="AF36" s="57" t="n">
        <x:v>0.015</x:v>
      </x:c>
      <x:c r="AG36" s="57" t="n">
        <x:v>0.015</x:v>
      </x:c>
      <x:c r="AH36" s="57" t="n">
        <x:v>0.015</x:v>
      </x:c>
      <x:c r="AI36" s="57" t="n">
        <x:v>0.015</x:v>
      </x:c>
      <x:c r="AJ36" s="57" t="n">
        <x:v>0.015</x:v>
      </x:c>
      <x:c r="AK36" s="57" t="n">
        <x:v>0.015</x:v>
      </x:c>
      <x:c r="AL36" s="57" t="n">
        <x:v>0.015</x:v>
      </x:c>
    </x:row>
    <x:row r="37">
      <x:c r="A37" s="39" t="str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</x:row>
    <x:row r="38">
      <x:c r="A38" s="46" t="str">
        <x:v>Base Fee / Customer / Month</x:v>
      </x:c>
      <x:c r="B38" s="46" t="str">
        <x:v>Selected | KRW</x:v>
      </x:c>
      <x:c r="C38" s="61" t="n">
        <x:f>IF($D$6="Downside",C39,IF($D$6="Base",C40,C41))</x:f>
        <x:v>5000000</x:v>
      </x:c>
      <x:c r="D38" s="61" t="n">
        <x:f>IF($D$6="Downside",D39,IF($D$6="Base",D40,D41))</x:f>
        <x:v>5000000</x:v>
      </x:c>
      <x:c r="E38" s="61" t="n">
        <x:f>IF($D$6="Downside",E39,IF($D$6="Base",E40,E41))</x:f>
        <x:v>5000000</x:v>
      </x:c>
      <x:c r="F38" s="61" t="n">
        <x:f>IF($D$6="Downside",F39,IF($D$6="Base",F40,F41))</x:f>
        <x:v>5000000</x:v>
      </x:c>
      <x:c r="G38" s="61" t="n">
        <x:f>IF($D$6="Downside",G39,IF($D$6="Base",G40,G41))</x:f>
        <x:v>5000000</x:v>
      </x:c>
      <x:c r="H38" s="61" t="n">
        <x:f>IF($D$6="Downside",H39,IF($D$6="Base",H40,H41))</x:f>
        <x:v>5000000</x:v>
      </x:c>
      <x:c r="I38" s="61" t="n">
        <x:f>IF($D$6="Downside",I39,IF($D$6="Base",I40,I41))</x:f>
        <x:v>5000000</x:v>
      </x:c>
      <x:c r="J38" s="61" t="n">
        <x:f>IF($D$6="Downside",J39,IF($D$6="Base",J40,J41))</x:f>
        <x:v>5000000</x:v>
      </x:c>
      <x:c r="K38" s="61" t="n">
        <x:f>IF($D$6="Downside",K39,IF($D$6="Base",K40,K41))</x:f>
        <x:v>5000000</x:v>
      </x:c>
      <x:c r="L38" s="61" t="n">
        <x:f>IF($D$6="Downside",L39,IF($D$6="Base",L40,L41))</x:f>
        <x:v>5000000</x:v>
      </x:c>
      <x:c r="M38" s="61" t="n">
        <x:f>IF($D$6="Downside",M39,IF($D$6="Base",M40,M41))</x:f>
        <x:v>5000000</x:v>
      </x:c>
      <x:c r="N38" s="61" t="n">
        <x:f>IF($D$6="Downside",N39,IF($D$6="Base",N40,N41))</x:f>
        <x:v>5000000</x:v>
      </x:c>
      <x:c r="O38" s="61" t="n">
        <x:f>IF($D$6="Downside",O39,IF($D$6="Base",O40,O41))</x:f>
        <x:v>5000000</x:v>
      </x:c>
      <x:c r="P38" s="61" t="n">
        <x:f>IF($D$6="Downside",P39,IF($D$6="Base",P40,P41))</x:f>
        <x:v>5000000</x:v>
      </x:c>
      <x:c r="Q38" s="61" t="n">
        <x:f>IF($D$6="Downside",Q39,IF($D$6="Base",Q40,Q41))</x:f>
        <x:v>5000000</x:v>
      </x:c>
      <x:c r="R38" s="61" t="n">
        <x:f>IF($D$6="Downside",R39,IF($D$6="Base",R40,R41))</x:f>
        <x:v>5000000</x:v>
      </x:c>
      <x:c r="S38" s="61" t="n">
        <x:f>IF($D$6="Downside",S39,IF($D$6="Base",S40,S41))</x:f>
        <x:v>5000000</x:v>
      </x:c>
      <x:c r="T38" s="61" t="n">
        <x:f>IF($D$6="Downside",T39,IF($D$6="Base",T40,T41))</x:f>
        <x:v>5000000</x:v>
      </x:c>
      <x:c r="U38" s="61" t="n">
        <x:f>IF($D$6="Downside",U39,IF($D$6="Base",U40,U41))</x:f>
        <x:v>5000000</x:v>
      </x:c>
      <x:c r="V38" s="61" t="n">
        <x:f>IF($D$6="Downside",V39,IF($D$6="Base",V40,V41))</x:f>
        <x:v>5000000</x:v>
      </x:c>
      <x:c r="W38" s="61" t="n">
        <x:f>IF($D$6="Downside",W39,IF($D$6="Base",W40,W41))</x:f>
        <x:v>5000000</x:v>
      </x:c>
      <x:c r="X38" s="61" t="n">
        <x:f>IF($D$6="Downside",X39,IF($D$6="Base",X40,X41))</x:f>
        <x:v>5000000</x:v>
      </x:c>
      <x:c r="Y38" s="61" t="n">
        <x:f>IF($D$6="Downside",Y39,IF($D$6="Base",Y40,Y41))</x:f>
        <x:v>5000000</x:v>
      </x:c>
      <x:c r="Z38" s="61" t="n">
        <x:f>IF($D$6="Downside",Z39,IF($D$6="Base",Z40,Z41))</x:f>
        <x:v>5000000</x:v>
      </x:c>
      <x:c r="AA38" s="61" t="n">
        <x:f>IF($D$6="Downside",AA39,IF($D$6="Base",AA40,AA41))</x:f>
        <x:v>5000000</x:v>
      </x:c>
      <x:c r="AB38" s="61" t="n">
        <x:f>IF($D$6="Downside",AB39,IF($D$6="Base",AB40,AB41))</x:f>
        <x:v>5000000</x:v>
      </x:c>
      <x:c r="AC38" s="61" t="n">
        <x:f>IF($D$6="Downside",AC39,IF($D$6="Base",AC40,AC41))</x:f>
        <x:v>5000000</x:v>
      </x:c>
      <x:c r="AD38" s="61" t="n">
        <x:f>IF($D$6="Downside",AD39,IF($D$6="Base",AD40,AD41))</x:f>
        <x:v>5000000</x:v>
      </x:c>
      <x:c r="AE38" s="61" t="n">
        <x:f>IF($D$6="Downside",AE39,IF($D$6="Base",AE40,AE41))</x:f>
        <x:v>5000000</x:v>
      </x:c>
      <x:c r="AF38" s="61" t="n">
        <x:f>IF($D$6="Downside",AF39,IF($D$6="Base",AF40,AF41))</x:f>
        <x:v>5000000</x:v>
      </x:c>
      <x:c r="AG38" s="61" t="n">
        <x:f>IF($D$6="Downside",AG39,IF($D$6="Base",AG40,AG41))</x:f>
        <x:v>5000000</x:v>
      </x:c>
      <x:c r="AH38" s="61" t="n">
        <x:f>IF($D$6="Downside",AH39,IF($D$6="Base",AH40,AH41))</x:f>
        <x:v>5000000</x:v>
      </x:c>
      <x:c r="AI38" s="61" t="n">
        <x:f>IF($D$6="Downside",AI39,IF($D$6="Base",AI40,AI41))</x:f>
        <x:v>5000000</x:v>
      </x:c>
      <x:c r="AJ38" s="61" t="n">
        <x:f>IF($D$6="Downside",AJ39,IF($D$6="Base",AJ40,AJ41))</x:f>
        <x:v>5000000</x:v>
      </x:c>
      <x:c r="AK38" s="61" t="n">
        <x:f>IF($D$6="Downside",AK39,IF($D$6="Base",AK40,AK41))</x:f>
        <x:v>5000000</x:v>
      </x:c>
      <x:c r="AL38" s="61" t="n">
        <x:f>IF($D$6="Downside",AL39,IF($D$6="Base",AL40,AL41))</x:f>
        <x:v>5000000</x:v>
      </x:c>
    </x:row>
    <x:row r="39">
      <x:c r="A39" s="47" t="str"/>
      <x:c r="B39" s="48" t="str">
        <x:v>Downside</x:v>
      </x:c>
      <x:c r="C39" s="60" t="n">
        <x:v>3000000</x:v>
      </x:c>
      <x:c r="D39" s="60" t="n">
        <x:v>3000000</x:v>
      </x:c>
      <x:c r="E39" s="60" t="n">
        <x:v>3000000</x:v>
      </x:c>
      <x:c r="F39" s="60" t="n">
        <x:v>3000000</x:v>
      </x:c>
      <x:c r="G39" s="60" t="n">
        <x:v>3000000</x:v>
      </x:c>
      <x:c r="H39" s="60" t="n">
        <x:v>3000000</x:v>
      </x:c>
      <x:c r="I39" s="60" t="n">
        <x:v>3000000</x:v>
      </x:c>
      <x:c r="J39" s="60" t="n">
        <x:v>3000000</x:v>
      </x:c>
      <x:c r="K39" s="60" t="n">
        <x:v>3000000</x:v>
      </x:c>
      <x:c r="L39" s="60" t="n">
        <x:v>3000000</x:v>
      </x:c>
      <x:c r="M39" s="60" t="n">
        <x:v>3000000</x:v>
      </x:c>
      <x:c r="N39" s="60" t="n">
        <x:v>3000000</x:v>
      </x:c>
      <x:c r="O39" s="60" t="n">
        <x:v>3000000</x:v>
      </x:c>
      <x:c r="P39" s="60" t="n">
        <x:v>3000000</x:v>
      </x:c>
      <x:c r="Q39" s="60" t="n">
        <x:v>3000000</x:v>
      </x:c>
      <x:c r="R39" s="60" t="n">
        <x:v>3000000</x:v>
      </x:c>
      <x:c r="S39" s="60" t="n">
        <x:v>3000000</x:v>
      </x:c>
      <x:c r="T39" s="60" t="n">
        <x:v>3000000</x:v>
      </x:c>
      <x:c r="U39" s="60" t="n">
        <x:v>3000000</x:v>
      </x:c>
      <x:c r="V39" s="60" t="n">
        <x:v>3000000</x:v>
      </x:c>
      <x:c r="W39" s="60" t="n">
        <x:v>3000000</x:v>
      </x:c>
      <x:c r="X39" s="60" t="n">
        <x:v>3000000</x:v>
      </x:c>
      <x:c r="Y39" s="60" t="n">
        <x:v>3000000</x:v>
      </x:c>
      <x:c r="Z39" s="60" t="n">
        <x:v>3000000</x:v>
      </x:c>
      <x:c r="AA39" s="60" t="n">
        <x:v>3000000</x:v>
      </x:c>
      <x:c r="AB39" s="60" t="n">
        <x:v>3000000</x:v>
      </x:c>
      <x:c r="AC39" s="60" t="n">
        <x:v>3000000</x:v>
      </x:c>
      <x:c r="AD39" s="60" t="n">
        <x:v>3000000</x:v>
      </x:c>
      <x:c r="AE39" s="60" t="n">
        <x:v>3000000</x:v>
      </x:c>
      <x:c r="AF39" s="60" t="n">
        <x:v>3000000</x:v>
      </x:c>
      <x:c r="AG39" s="60" t="n">
        <x:v>3000000</x:v>
      </x:c>
      <x:c r="AH39" s="60" t="n">
        <x:v>3000000</x:v>
      </x:c>
      <x:c r="AI39" s="60" t="n">
        <x:v>3000000</x:v>
      </x:c>
      <x:c r="AJ39" s="60" t="n">
        <x:v>3000000</x:v>
      </x:c>
      <x:c r="AK39" s="60" t="n">
        <x:v>3000000</x:v>
      </x:c>
      <x:c r="AL39" s="60" t="n">
        <x:v>3000000</x:v>
      </x:c>
    </x:row>
    <x:row r="40">
      <x:c r="A40" s="47" t="str"/>
      <x:c r="B40" s="48" t="str">
        <x:v>Base</x:v>
      </x:c>
      <x:c r="C40" s="60" t="n">
        <x:v>5000000</x:v>
      </x:c>
      <x:c r="D40" s="60" t="n">
        <x:v>5000000</x:v>
      </x:c>
      <x:c r="E40" s="60" t="n">
        <x:v>5000000</x:v>
      </x:c>
      <x:c r="F40" s="60" t="n">
        <x:v>5000000</x:v>
      </x:c>
      <x:c r="G40" s="60" t="n">
        <x:v>5000000</x:v>
      </x:c>
      <x:c r="H40" s="60" t="n">
        <x:v>5000000</x:v>
      </x:c>
      <x:c r="I40" s="60" t="n">
        <x:v>5000000</x:v>
      </x:c>
      <x:c r="J40" s="60" t="n">
        <x:v>5000000</x:v>
      </x:c>
      <x:c r="K40" s="60" t="n">
        <x:v>5000000</x:v>
      </x:c>
      <x:c r="L40" s="60" t="n">
        <x:v>5000000</x:v>
      </x:c>
      <x:c r="M40" s="60" t="n">
        <x:v>5000000</x:v>
      </x:c>
      <x:c r="N40" s="60" t="n">
        <x:v>5000000</x:v>
      </x:c>
      <x:c r="O40" s="60" t="n">
        <x:v>5000000</x:v>
      </x:c>
      <x:c r="P40" s="60" t="n">
        <x:v>5000000</x:v>
      </x:c>
      <x:c r="Q40" s="60" t="n">
        <x:v>5000000</x:v>
      </x:c>
      <x:c r="R40" s="60" t="n">
        <x:v>5000000</x:v>
      </x:c>
      <x:c r="S40" s="60" t="n">
        <x:v>5000000</x:v>
      </x:c>
      <x:c r="T40" s="60" t="n">
        <x:v>5000000</x:v>
      </x:c>
      <x:c r="U40" s="60" t="n">
        <x:v>5000000</x:v>
      </x:c>
      <x:c r="V40" s="60" t="n">
        <x:v>5000000</x:v>
      </x:c>
      <x:c r="W40" s="60" t="n">
        <x:v>5000000</x:v>
      </x:c>
      <x:c r="X40" s="60" t="n">
        <x:v>5000000</x:v>
      </x:c>
      <x:c r="Y40" s="60" t="n">
        <x:v>5000000</x:v>
      </x:c>
      <x:c r="Z40" s="60" t="n">
        <x:v>5000000</x:v>
      </x:c>
      <x:c r="AA40" s="60" t="n">
        <x:v>5000000</x:v>
      </x:c>
      <x:c r="AB40" s="60" t="n">
        <x:v>5000000</x:v>
      </x:c>
      <x:c r="AC40" s="60" t="n">
        <x:v>5000000</x:v>
      </x:c>
      <x:c r="AD40" s="60" t="n">
        <x:v>5000000</x:v>
      </x:c>
      <x:c r="AE40" s="60" t="n">
        <x:v>5000000</x:v>
      </x:c>
      <x:c r="AF40" s="60" t="n">
        <x:v>5000000</x:v>
      </x:c>
      <x:c r="AG40" s="60" t="n">
        <x:v>5000000</x:v>
      </x:c>
      <x:c r="AH40" s="60" t="n">
        <x:v>5000000</x:v>
      </x:c>
      <x:c r="AI40" s="60" t="n">
        <x:v>5000000</x:v>
      </x:c>
      <x:c r="AJ40" s="60" t="n">
        <x:v>5000000</x:v>
      </x:c>
      <x:c r="AK40" s="60" t="n">
        <x:v>5000000</x:v>
      </x:c>
      <x:c r="AL40" s="60" t="n">
        <x:v>5000000</x:v>
      </x:c>
    </x:row>
    <x:row r="41">
      <x:c r="A41" s="47" t="str"/>
      <x:c r="B41" s="48" t="str">
        <x:v>Upside</x:v>
      </x:c>
      <x:c r="C41" s="60" t="n">
        <x:v>7000000</x:v>
      </x:c>
      <x:c r="D41" s="60" t="n">
        <x:v>7000000</x:v>
      </x:c>
      <x:c r="E41" s="60" t="n">
        <x:v>7000000</x:v>
      </x:c>
      <x:c r="F41" s="60" t="n">
        <x:v>7000000</x:v>
      </x:c>
      <x:c r="G41" s="60" t="n">
        <x:v>7000000</x:v>
      </x:c>
      <x:c r="H41" s="60" t="n">
        <x:v>7000000</x:v>
      </x:c>
      <x:c r="I41" s="60" t="n">
        <x:v>7000000</x:v>
      </x:c>
      <x:c r="J41" s="60" t="n">
        <x:v>7000000</x:v>
      </x:c>
      <x:c r="K41" s="60" t="n">
        <x:v>7000000</x:v>
      </x:c>
      <x:c r="L41" s="60" t="n">
        <x:v>7000000</x:v>
      </x:c>
      <x:c r="M41" s="60" t="n">
        <x:v>7000000</x:v>
      </x:c>
      <x:c r="N41" s="60" t="n">
        <x:v>7000000</x:v>
      </x:c>
      <x:c r="O41" s="60" t="n">
        <x:v>7000000</x:v>
      </x:c>
      <x:c r="P41" s="60" t="n">
        <x:v>7000000</x:v>
      </x:c>
      <x:c r="Q41" s="60" t="n">
        <x:v>7000000</x:v>
      </x:c>
      <x:c r="R41" s="60" t="n">
        <x:v>7000000</x:v>
      </x:c>
      <x:c r="S41" s="60" t="n">
        <x:v>7000000</x:v>
      </x:c>
      <x:c r="T41" s="60" t="n">
        <x:v>7000000</x:v>
      </x:c>
      <x:c r="U41" s="60" t="n">
        <x:v>7000000</x:v>
      </x:c>
      <x:c r="V41" s="60" t="n">
        <x:v>7000000</x:v>
      </x:c>
      <x:c r="W41" s="60" t="n">
        <x:v>7000000</x:v>
      </x:c>
      <x:c r="X41" s="60" t="n">
        <x:v>7000000</x:v>
      </x:c>
      <x:c r="Y41" s="60" t="n">
        <x:v>7000000</x:v>
      </x:c>
      <x:c r="Z41" s="60" t="n">
        <x:v>7000000</x:v>
      </x:c>
      <x:c r="AA41" s="60" t="n">
        <x:v>7000000</x:v>
      </x:c>
      <x:c r="AB41" s="60" t="n">
        <x:v>7000000</x:v>
      </x:c>
      <x:c r="AC41" s="60" t="n">
        <x:v>7000000</x:v>
      </x:c>
      <x:c r="AD41" s="60" t="n">
        <x:v>7000000</x:v>
      </x:c>
      <x:c r="AE41" s="60" t="n">
        <x:v>7000000</x:v>
      </x:c>
      <x:c r="AF41" s="60" t="n">
        <x:v>7000000</x:v>
      </x:c>
      <x:c r="AG41" s="60" t="n">
        <x:v>7000000</x:v>
      </x:c>
      <x:c r="AH41" s="60" t="n">
        <x:v>7000000</x:v>
      </x:c>
      <x:c r="AI41" s="60" t="n">
        <x:v>7000000</x:v>
      </x:c>
      <x:c r="AJ41" s="60" t="n">
        <x:v>7000000</x:v>
      </x:c>
      <x:c r="AK41" s="60" t="n">
        <x:v>7000000</x:v>
      </x:c>
      <x:c r="AL41" s="60" t="n">
        <x:v>7000000</x:v>
      </x:c>
    </x:row>
    <x:row r="42">
      <x:c r="A42" s="39" t="str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</x:row>
    <x:row r="43">
      <x:c r="A43" s="46" t="str">
        <x:v>Workflows / Customer / Month</x:v>
      </x:c>
      <x:c r="B43" s="46" t="str">
        <x:v>Selected | count</x:v>
      </x:c>
      <x:c r="C43" s="64" t="n">
        <x:f>IF($D$6="Downside",C44,IF($D$6="Base",C45,C46))</x:f>
        <x:v>20</x:v>
      </x:c>
      <x:c r="D43" s="64" t="n">
        <x:f>IF($D$6="Downside",D44,IF($D$6="Base",D45,D46))</x:f>
        <x:v>20</x:v>
      </x:c>
      <x:c r="E43" s="64" t="n">
        <x:f>IF($D$6="Downside",E44,IF($D$6="Base",E45,E46))</x:f>
        <x:v>20</x:v>
      </x:c>
      <x:c r="F43" s="64" t="n">
        <x:f>IF($D$6="Downside",F44,IF($D$6="Base",F45,F46))</x:f>
        <x:v>20</x:v>
      </x:c>
      <x:c r="G43" s="64" t="n">
        <x:f>IF($D$6="Downside",G44,IF($D$6="Base",G45,G46))</x:f>
        <x:v>20</x:v>
      </x:c>
      <x:c r="H43" s="64" t="n">
        <x:f>IF($D$6="Downside",H44,IF($D$6="Base",H45,H46))</x:f>
        <x:v>20</x:v>
      </x:c>
      <x:c r="I43" s="64" t="n">
        <x:f>IF($D$6="Downside",I44,IF($D$6="Base",I45,I46))</x:f>
        <x:v>20</x:v>
      </x:c>
      <x:c r="J43" s="64" t="n">
        <x:f>IF($D$6="Downside",J44,IF($D$6="Base",J45,J46))</x:f>
        <x:v>20</x:v>
      </x:c>
      <x:c r="K43" s="64" t="n">
        <x:f>IF($D$6="Downside",K44,IF($D$6="Base",K45,K46))</x:f>
        <x:v>20</x:v>
      </x:c>
      <x:c r="L43" s="64" t="n">
        <x:f>IF($D$6="Downside",L44,IF($D$6="Base",L45,L46))</x:f>
        <x:v>20</x:v>
      </x:c>
      <x:c r="M43" s="64" t="n">
        <x:f>IF($D$6="Downside",M44,IF($D$6="Base",M45,M46))</x:f>
        <x:v>20</x:v>
      </x:c>
      <x:c r="N43" s="64" t="n">
        <x:f>IF($D$6="Downside",N44,IF($D$6="Base",N45,N46))</x:f>
        <x:v>20</x:v>
      </x:c>
      <x:c r="O43" s="64" t="n">
        <x:f>IF($D$6="Downside",O44,IF($D$6="Base",O45,O46))</x:f>
        <x:v>20</x:v>
      </x:c>
      <x:c r="P43" s="64" t="n">
        <x:f>IF($D$6="Downside",P44,IF($D$6="Base",P45,P46))</x:f>
        <x:v>20</x:v>
      </x:c>
      <x:c r="Q43" s="64" t="n">
        <x:f>IF($D$6="Downside",Q44,IF($D$6="Base",Q45,Q46))</x:f>
        <x:v>20</x:v>
      </x:c>
      <x:c r="R43" s="64" t="n">
        <x:f>IF($D$6="Downside",R44,IF($D$6="Base",R45,R46))</x:f>
        <x:v>20</x:v>
      </x:c>
      <x:c r="S43" s="64" t="n">
        <x:f>IF($D$6="Downside",S44,IF($D$6="Base",S45,S46))</x:f>
        <x:v>20</x:v>
      </x:c>
      <x:c r="T43" s="64" t="n">
        <x:f>IF($D$6="Downside",T44,IF($D$6="Base",T45,T46))</x:f>
        <x:v>20</x:v>
      </x:c>
      <x:c r="U43" s="64" t="n">
        <x:f>IF($D$6="Downside",U44,IF($D$6="Base",U45,U46))</x:f>
        <x:v>20</x:v>
      </x:c>
      <x:c r="V43" s="64" t="n">
        <x:f>IF($D$6="Downside",V44,IF($D$6="Base",V45,V46))</x:f>
        <x:v>20</x:v>
      </x:c>
      <x:c r="W43" s="64" t="n">
        <x:f>IF($D$6="Downside",W44,IF($D$6="Base",W45,W46))</x:f>
        <x:v>20</x:v>
      </x:c>
      <x:c r="X43" s="64" t="n">
        <x:f>IF($D$6="Downside",X44,IF($D$6="Base",X45,X46))</x:f>
        <x:v>20</x:v>
      </x:c>
      <x:c r="Y43" s="64" t="n">
        <x:f>IF($D$6="Downside",Y44,IF($D$6="Base",Y45,Y46))</x:f>
        <x:v>20</x:v>
      </x:c>
      <x:c r="Z43" s="64" t="n">
        <x:f>IF($D$6="Downside",Z44,IF($D$6="Base",Z45,Z46))</x:f>
        <x:v>20</x:v>
      </x:c>
      <x:c r="AA43" s="64" t="n">
        <x:f>IF($D$6="Downside",AA44,IF($D$6="Base",AA45,AA46))</x:f>
        <x:v>20</x:v>
      </x:c>
      <x:c r="AB43" s="64" t="n">
        <x:f>IF($D$6="Downside",AB44,IF($D$6="Base",AB45,AB46))</x:f>
        <x:v>20</x:v>
      </x:c>
      <x:c r="AC43" s="64" t="n">
        <x:f>IF($D$6="Downside",AC44,IF($D$6="Base",AC45,AC46))</x:f>
        <x:v>20</x:v>
      </x:c>
      <x:c r="AD43" s="64" t="n">
        <x:f>IF($D$6="Downside",AD44,IF($D$6="Base",AD45,AD46))</x:f>
        <x:v>20</x:v>
      </x:c>
      <x:c r="AE43" s="64" t="n">
        <x:f>IF($D$6="Downside",AE44,IF($D$6="Base",AE45,AE46))</x:f>
        <x:v>20</x:v>
      </x:c>
      <x:c r="AF43" s="64" t="n">
        <x:f>IF($D$6="Downside",AF44,IF($D$6="Base",AF45,AF46))</x:f>
        <x:v>20</x:v>
      </x:c>
      <x:c r="AG43" s="64" t="n">
        <x:f>IF($D$6="Downside",AG44,IF($D$6="Base",AG45,AG46))</x:f>
        <x:v>20</x:v>
      </x:c>
      <x:c r="AH43" s="64" t="n">
        <x:f>IF($D$6="Downside",AH44,IF($D$6="Base",AH45,AH46))</x:f>
        <x:v>20</x:v>
      </x:c>
      <x:c r="AI43" s="64" t="n">
        <x:f>IF($D$6="Downside",AI44,IF($D$6="Base",AI45,AI46))</x:f>
        <x:v>20</x:v>
      </x:c>
      <x:c r="AJ43" s="64" t="n">
        <x:f>IF($D$6="Downside",AJ44,IF($D$6="Base",AJ45,AJ46))</x:f>
        <x:v>20</x:v>
      </x:c>
      <x:c r="AK43" s="64" t="n">
        <x:f>IF($D$6="Downside",AK44,IF($D$6="Base",AK45,AK46))</x:f>
        <x:v>20</x:v>
      </x:c>
      <x:c r="AL43" s="64" t="n">
        <x:f>IF($D$6="Downside",AL44,IF($D$6="Base",AL45,AL46))</x:f>
        <x:v>20</x:v>
      </x:c>
    </x:row>
    <x:row r="44">
      <x:c r="A44" s="47" t="str"/>
      <x:c r="B44" s="48" t="str">
        <x:v>Downside</x:v>
      </x:c>
      <x:c r="C44" s="63" t="n">
        <x:v>10</x:v>
      </x:c>
      <x:c r="D44" s="63" t="n">
        <x:v>10</x:v>
      </x:c>
      <x:c r="E44" s="63" t="n">
        <x:v>10</x:v>
      </x:c>
      <x:c r="F44" s="63" t="n">
        <x:v>10</x:v>
      </x:c>
      <x:c r="G44" s="63" t="n">
        <x:v>10</x:v>
      </x:c>
      <x:c r="H44" s="63" t="n">
        <x:v>10</x:v>
      </x:c>
      <x:c r="I44" s="63" t="n">
        <x:v>10</x:v>
      </x:c>
      <x:c r="J44" s="63" t="n">
        <x:v>10</x:v>
      </x:c>
      <x:c r="K44" s="63" t="n">
        <x:v>10</x:v>
      </x:c>
      <x:c r="L44" s="63" t="n">
        <x:v>10</x:v>
      </x:c>
      <x:c r="M44" s="63" t="n">
        <x:v>10</x:v>
      </x:c>
      <x:c r="N44" s="63" t="n">
        <x:v>10</x:v>
      </x:c>
      <x:c r="O44" s="63" t="n">
        <x:v>10</x:v>
      </x:c>
      <x:c r="P44" s="63" t="n">
        <x:v>10</x:v>
      </x:c>
      <x:c r="Q44" s="63" t="n">
        <x:v>10</x:v>
      </x:c>
      <x:c r="R44" s="63" t="n">
        <x:v>10</x:v>
      </x:c>
      <x:c r="S44" s="63" t="n">
        <x:v>10</x:v>
      </x:c>
      <x:c r="T44" s="63" t="n">
        <x:v>10</x:v>
      </x:c>
      <x:c r="U44" s="63" t="n">
        <x:v>10</x:v>
      </x:c>
      <x:c r="V44" s="63" t="n">
        <x:v>10</x:v>
      </x:c>
      <x:c r="W44" s="63" t="n">
        <x:v>10</x:v>
      </x:c>
      <x:c r="X44" s="63" t="n">
        <x:v>10</x:v>
      </x:c>
      <x:c r="Y44" s="63" t="n">
        <x:v>10</x:v>
      </x:c>
      <x:c r="Z44" s="63" t="n">
        <x:v>10</x:v>
      </x:c>
      <x:c r="AA44" s="63" t="n">
        <x:v>10</x:v>
      </x:c>
      <x:c r="AB44" s="63" t="n">
        <x:v>10</x:v>
      </x:c>
      <x:c r="AC44" s="63" t="n">
        <x:v>10</x:v>
      </x:c>
      <x:c r="AD44" s="63" t="n">
        <x:v>10</x:v>
      </x:c>
      <x:c r="AE44" s="63" t="n">
        <x:v>10</x:v>
      </x:c>
      <x:c r="AF44" s="63" t="n">
        <x:v>10</x:v>
      </x:c>
      <x:c r="AG44" s="63" t="n">
        <x:v>10</x:v>
      </x:c>
      <x:c r="AH44" s="63" t="n">
        <x:v>10</x:v>
      </x:c>
      <x:c r="AI44" s="63" t="n">
        <x:v>10</x:v>
      </x:c>
      <x:c r="AJ44" s="63" t="n">
        <x:v>10</x:v>
      </x:c>
      <x:c r="AK44" s="63" t="n">
        <x:v>10</x:v>
      </x:c>
      <x:c r="AL44" s="63" t="n">
        <x:v>10</x:v>
      </x:c>
    </x:row>
    <x:row r="45">
      <x:c r="A45" s="47" t="str"/>
      <x:c r="B45" s="48" t="str">
        <x:v>Base</x:v>
      </x:c>
      <x:c r="C45" s="63" t="n">
        <x:v>20</x:v>
      </x:c>
      <x:c r="D45" s="63" t="n">
        <x:v>20</x:v>
      </x:c>
      <x:c r="E45" s="63" t="n">
        <x:v>20</x:v>
      </x:c>
      <x:c r="F45" s="63" t="n">
        <x:v>20</x:v>
      </x:c>
      <x:c r="G45" s="63" t="n">
        <x:v>20</x:v>
      </x:c>
      <x:c r="H45" s="63" t="n">
        <x:v>20</x:v>
      </x:c>
      <x:c r="I45" s="63" t="n">
        <x:v>20</x:v>
      </x:c>
      <x:c r="J45" s="63" t="n">
        <x:v>20</x:v>
      </x:c>
      <x:c r="K45" s="63" t="n">
        <x:v>20</x:v>
      </x:c>
      <x:c r="L45" s="63" t="n">
        <x:v>20</x:v>
      </x:c>
      <x:c r="M45" s="63" t="n">
        <x:v>20</x:v>
      </x:c>
      <x:c r="N45" s="63" t="n">
        <x:v>20</x:v>
      </x:c>
      <x:c r="O45" s="63" t="n">
        <x:v>20</x:v>
      </x:c>
      <x:c r="P45" s="63" t="n">
        <x:v>20</x:v>
      </x:c>
      <x:c r="Q45" s="63" t="n">
        <x:v>20</x:v>
      </x:c>
      <x:c r="R45" s="63" t="n">
        <x:v>20</x:v>
      </x:c>
      <x:c r="S45" s="63" t="n">
        <x:v>20</x:v>
      </x:c>
      <x:c r="T45" s="63" t="n">
        <x:v>20</x:v>
      </x:c>
      <x:c r="U45" s="63" t="n">
        <x:v>20</x:v>
      </x:c>
      <x:c r="V45" s="63" t="n">
        <x:v>20</x:v>
      </x:c>
      <x:c r="W45" s="63" t="n">
        <x:v>20</x:v>
      </x:c>
      <x:c r="X45" s="63" t="n">
        <x:v>20</x:v>
      </x:c>
      <x:c r="Y45" s="63" t="n">
        <x:v>20</x:v>
      </x:c>
      <x:c r="Z45" s="63" t="n">
        <x:v>20</x:v>
      </x:c>
      <x:c r="AA45" s="63" t="n">
        <x:v>20</x:v>
      </x:c>
      <x:c r="AB45" s="63" t="n">
        <x:v>20</x:v>
      </x:c>
      <x:c r="AC45" s="63" t="n">
        <x:v>20</x:v>
      </x:c>
      <x:c r="AD45" s="63" t="n">
        <x:v>20</x:v>
      </x:c>
      <x:c r="AE45" s="63" t="n">
        <x:v>20</x:v>
      </x:c>
      <x:c r="AF45" s="63" t="n">
        <x:v>20</x:v>
      </x:c>
      <x:c r="AG45" s="63" t="n">
        <x:v>20</x:v>
      </x:c>
      <x:c r="AH45" s="63" t="n">
        <x:v>20</x:v>
      </x:c>
      <x:c r="AI45" s="63" t="n">
        <x:v>20</x:v>
      </x:c>
      <x:c r="AJ45" s="63" t="n">
        <x:v>20</x:v>
      </x:c>
      <x:c r="AK45" s="63" t="n">
        <x:v>20</x:v>
      </x:c>
      <x:c r="AL45" s="63" t="n">
        <x:v>20</x:v>
      </x:c>
    </x:row>
    <x:row r="46">
      <x:c r="A46" s="47" t="str"/>
      <x:c r="B46" s="48" t="str">
        <x:v>Upside</x:v>
      </x:c>
      <x:c r="C46" s="63" t="n">
        <x:v>35</x:v>
      </x:c>
      <x:c r="D46" s="63" t="n">
        <x:v>35</x:v>
      </x:c>
      <x:c r="E46" s="63" t="n">
        <x:v>35</x:v>
      </x:c>
      <x:c r="F46" s="63" t="n">
        <x:v>35</x:v>
      </x:c>
      <x:c r="G46" s="63" t="n">
        <x:v>35</x:v>
      </x:c>
      <x:c r="H46" s="63" t="n">
        <x:v>35</x:v>
      </x:c>
      <x:c r="I46" s="63" t="n">
        <x:v>35</x:v>
      </x:c>
      <x:c r="J46" s="63" t="n">
        <x:v>35</x:v>
      </x:c>
      <x:c r="K46" s="63" t="n">
        <x:v>35</x:v>
      </x:c>
      <x:c r="L46" s="63" t="n">
        <x:v>35</x:v>
      </x:c>
      <x:c r="M46" s="63" t="n">
        <x:v>35</x:v>
      </x:c>
      <x:c r="N46" s="63" t="n">
        <x:v>35</x:v>
      </x:c>
      <x:c r="O46" s="63" t="n">
        <x:v>35</x:v>
      </x:c>
      <x:c r="P46" s="63" t="n">
        <x:v>35</x:v>
      </x:c>
      <x:c r="Q46" s="63" t="n">
        <x:v>35</x:v>
      </x:c>
      <x:c r="R46" s="63" t="n">
        <x:v>35</x:v>
      </x:c>
      <x:c r="S46" s="63" t="n">
        <x:v>35</x:v>
      </x:c>
      <x:c r="T46" s="63" t="n">
        <x:v>35</x:v>
      </x:c>
      <x:c r="U46" s="63" t="n">
        <x:v>35</x:v>
      </x:c>
      <x:c r="V46" s="63" t="n">
        <x:v>35</x:v>
      </x:c>
      <x:c r="W46" s="63" t="n">
        <x:v>35</x:v>
      </x:c>
      <x:c r="X46" s="63" t="n">
        <x:v>35</x:v>
      </x:c>
      <x:c r="Y46" s="63" t="n">
        <x:v>35</x:v>
      </x:c>
      <x:c r="Z46" s="63" t="n">
        <x:v>35</x:v>
      </x:c>
      <x:c r="AA46" s="63" t="n">
        <x:v>35</x:v>
      </x:c>
      <x:c r="AB46" s="63" t="n">
        <x:v>35</x:v>
      </x:c>
      <x:c r="AC46" s="63" t="n">
        <x:v>35</x:v>
      </x:c>
      <x:c r="AD46" s="63" t="n">
        <x:v>35</x:v>
      </x:c>
      <x:c r="AE46" s="63" t="n">
        <x:v>35</x:v>
      </x:c>
      <x:c r="AF46" s="63" t="n">
        <x:v>35</x:v>
      </x:c>
      <x:c r="AG46" s="63" t="n">
        <x:v>35</x:v>
      </x:c>
      <x:c r="AH46" s="63" t="n">
        <x:v>35</x:v>
      </x:c>
      <x:c r="AI46" s="63" t="n">
        <x:v>35</x:v>
      </x:c>
      <x:c r="AJ46" s="63" t="n">
        <x:v>35</x:v>
      </x:c>
      <x:c r="AK46" s="63" t="n">
        <x:v>35</x:v>
      </x:c>
      <x:c r="AL46" s="63" t="n">
        <x:v>35</x:v>
      </x:c>
    </x:row>
    <x:row r="47">
      <x:c r="A47" s="39" t="str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</x:row>
    <x:row r="48">
      <x:c r="A48" s="46" t="str">
        <x:v>Price / Workflow</x:v>
      </x:c>
      <x:c r="B48" s="46" t="str">
        <x:v>Selected | KRW</x:v>
      </x:c>
      <x:c r="C48" s="61" t="n">
        <x:f>IF($D$6="Downside",C49,IF($D$6="Base",C50,C51))</x:f>
        <x:v>150000</x:v>
      </x:c>
      <x:c r="D48" s="61" t="n">
        <x:f>IF($D$6="Downside",D49,IF($D$6="Base",D50,D51))</x:f>
        <x:v>150000</x:v>
      </x:c>
      <x:c r="E48" s="61" t="n">
        <x:f>IF($D$6="Downside",E49,IF($D$6="Base",E50,E51))</x:f>
        <x:v>150000</x:v>
      </x:c>
      <x:c r="F48" s="61" t="n">
        <x:f>IF($D$6="Downside",F49,IF($D$6="Base",F50,F51))</x:f>
        <x:v>150000</x:v>
      </x:c>
      <x:c r="G48" s="61" t="n">
        <x:f>IF($D$6="Downside",G49,IF($D$6="Base",G50,G51))</x:f>
        <x:v>150000</x:v>
      </x:c>
      <x:c r="H48" s="61" t="n">
        <x:f>IF($D$6="Downside",H49,IF($D$6="Base",H50,H51))</x:f>
        <x:v>150000</x:v>
      </x:c>
      <x:c r="I48" s="61" t="n">
        <x:f>IF($D$6="Downside",I49,IF($D$6="Base",I50,I51))</x:f>
        <x:v>150000</x:v>
      </x:c>
      <x:c r="J48" s="61" t="n">
        <x:f>IF($D$6="Downside",J49,IF($D$6="Base",J50,J51))</x:f>
        <x:v>150000</x:v>
      </x:c>
      <x:c r="K48" s="61" t="n">
        <x:f>IF($D$6="Downside",K49,IF($D$6="Base",K50,K51))</x:f>
        <x:v>150000</x:v>
      </x:c>
      <x:c r="L48" s="61" t="n">
        <x:f>IF($D$6="Downside",L49,IF($D$6="Base",L50,L51))</x:f>
        <x:v>150000</x:v>
      </x:c>
      <x:c r="M48" s="61" t="n">
        <x:f>IF($D$6="Downside",M49,IF($D$6="Base",M50,M51))</x:f>
        <x:v>150000</x:v>
      </x:c>
      <x:c r="N48" s="61" t="n">
        <x:f>IF($D$6="Downside",N49,IF($D$6="Base",N50,N51))</x:f>
        <x:v>150000</x:v>
      </x:c>
      <x:c r="O48" s="61" t="n">
        <x:f>IF($D$6="Downside",O49,IF($D$6="Base",O50,O51))</x:f>
        <x:v>150000</x:v>
      </x:c>
      <x:c r="P48" s="61" t="n">
        <x:f>IF($D$6="Downside",P49,IF($D$6="Base",P50,P51))</x:f>
        <x:v>150000</x:v>
      </x:c>
      <x:c r="Q48" s="61" t="n">
        <x:f>IF($D$6="Downside",Q49,IF($D$6="Base",Q50,Q51))</x:f>
        <x:v>150000</x:v>
      </x:c>
      <x:c r="R48" s="61" t="n">
        <x:f>IF($D$6="Downside",R49,IF($D$6="Base",R50,R51))</x:f>
        <x:v>150000</x:v>
      </x:c>
      <x:c r="S48" s="61" t="n">
        <x:f>IF($D$6="Downside",S49,IF($D$6="Base",S50,S51))</x:f>
        <x:v>150000</x:v>
      </x:c>
      <x:c r="T48" s="61" t="n">
        <x:f>IF($D$6="Downside",T49,IF($D$6="Base",T50,T51))</x:f>
        <x:v>150000</x:v>
      </x:c>
      <x:c r="U48" s="61" t="n">
        <x:f>IF($D$6="Downside",U49,IF($D$6="Base",U50,U51))</x:f>
        <x:v>150000</x:v>
      </x:c>
      <x:c r="V48" s="61" t="n">
        <x:f>IF($D$6="Downside",V49,IF($D$6="Base",V50,V51))</x:f>
        <x:v>150000</x:v>
      </x:c>
      <x:c r="W48" s="61" t="n">
        <x:f>IF($D$6="Downside",W49,IF($D$6="Base",W50,W51))</x:f>
        <x:v>150000</x:v>
      </x:c>
      <x:c r="X48" s="61" t="n">
        <x:f>IF($D$6="Downside",X49,IF($D$6="Base",X50,X51))</x:f>
        <x:v>150000</x:v>
      </x:c>
      <x:c r="Y48" s="61" t="n">
        <x:f>IF($D$6="Downside",Y49,IF($D$6="Base",Y50,Y51))</x:f>
        <x:v>150000</x:v>
      </x:c>
      <x:c r="Z48" s="61" t="n">
        <x:f>IF($D$6="Downside",Z49,IF($D$6="Base",Z50,Z51))</x:f>
        <x:v>150000</x:v>
      </x:c>
      <x:c r="AA48" s="61" t="n">
        <x:f>IF($D$6="Downside",AA49,IF($D$6="Base",AA50,AA51))</x:f>
        <x:v>150000</x:v>
      </x:c>
      <x:c r="AB48" s="61" t="n">
        <x:f>IF($D$6="Downside",AB49,IF($D$6="Base",AB50,AB51))</x:f>
        <x:v>150000</x:v>
      </x:c>
      <x:c r="AC48" s="61" t="n">
        <x:f>IF($D$6="Downside",AC49,IF($D$6="Base",AC50,AC51))</x:f>
        <x:v>150000</x:v>
      </x:c>
      <x:c r="AD48" s="61" t="n">
        <x:f>IF($D$6="Downside",AD49,IF($D$6="Base",AD50,AD51))</x:f>
        <x:v>150000</x:v>
      </x:c>
      <x:c r="AE48" s="61" t="n">
        <x:f>IF($D$6="Downside",AE49,IF($D$6="Base",AE50,AE51))</x:f>
        <x:v>150000</x:v>
      </x:c>
      <x:c r="AF48" s="61" t="n">
        <x:f>IF($D$6="Downside",AF49,IF($D$6="Base",AF50,AF51))</x:f>
        <x:v>150000</x:v>
      </x:c>
      <x:c r="AG48" s="61" t="n">
        <x:f>IF($D$6="Downside",AG49,IF($D$6="Base",AG50,AG51))</x:f>
        <x:v>150000</x:v>
      </x:c>
      <x:c r="AH48" s="61" t="n">
        <x:f>IF($D$6="Downside",AH49,IF($D$6="Base",AH50,AH51))</x:f>
        <x:v>150000</x:v>
      </x:c>
      <x:c r="AI48" s="61" t="n">
        <x:f>IF($D$6="Downside",AI49,IF($D$6="Base",AI50,AI51))</x:f>
        <x:v>150000</x:v>
      </x:c>
      <x:c r="AJ48" s="61" t="n">
        <x:f>IF($D$6="Downside",AJ49,IF($D$6="Base",AJ50,AJ51))</x:f>
        <x:v>150000</x:v>
      </x:c>
      <x:c r="AK48" s="61" t="n">
        <x:f>IF($D$6="Downside",AK49,IF($D$6="Base",AK50,AK51))</x:f>
        <x:v>150000</x:v>
      </x:c>
      <x:c r="AL48" s="61" t="n">
        <x:f>IF($D$6="Downside",AL49,IF($D$6="Base",AL50,AL51))</x:f>
        <x:v>150000</x:v>
      </x:c>
    </x:row>
    <x:row r="49">
      <x:c r="A49" s="47" t="str"/>
      <x:c r="B49" s="48" t="str">
        <x:v>Downside</x:v>
      </x:c>
      <x:c r="C49" s="60" t="n">
        <x:v>100000</x:v>
      </x:c>
      <x:c r="D49" s="60" t="n">
        <x:v>100000</x:v>
      </x:c>
      <x:c r="E49" s="60" t="n">
        <x:v>100000</x:v>
      </x:c>
      <x:c r="F49" s="60" t="n">
        <x:v>100000</x:v>
      </x:c>
      <x:c r="G49" s="60" t="n">
        <x:v>100000</x:v>
      </x:c>
      <x:c r="H49" s="60" t="n">
        <x:v>100000</x:v>
      </x:c>
      <x:c r="I49" s="60" t="n">
        <x:v>100000</x:v>
      </x:c>
      <x:c r="J49" s="60" t="n">
        <x:v>100000</x:v>
      </x:c>
      <x:c r="K49" s="60" t="n">
        <x:v>100000</x:v>
      </x:c>
      <x:c r="L49" s="60" t="n">
        <x:v>100000</x:v>
      </x:c>
      <x:c r="M49" s="60" t="n">
        <x:v>100000</x:v>
      </x:c>
      <x:c r="N49" s="60" t="n">
        <x:v>100000</x:v>
      </x:c>
      <x:c r="O49" s="60" t="n">
        <x:v>100000</x:v>
      </x:c>
      <x:c r="P49" s="60" t="n">
        <x:v>100000</x:v>
      </x:c>
      <x:c r="Q49" s="60" t="n">
        <x:v>100000</x:v>
      </x:c>
      <x:c r="R49" s="60" t="n">
        <x:v>100000</x:v>
      </x:c>
      <x:c r="S49" s="60" t="n">
        <x:v>100000</x:v>
      </x:c>
      <x:c r="T49" s="60" t="n">
        <x:v>100000</x:v>
      </x:c>
      <x:c r="U49" s="60" t="n">
        <x:v>100000</x:v>
      </x:c>
      <x:c r="V49" s="60" t="n">
        <x:v>100000</x:v>
      </x:c>
      <x:c r="W49" s="60" t="n">
        <x:v>100000</x:v>
      </x:c>
      <x:c r="X49" s="60" t="n">
        <x:v>100000</x:v>
      </x:c>
      <x:c r="Y49" s="60" t="n">
        <x:v>100000</x:v>
      </x:c>
      <x:c r="Z49" s="60" t="n">
        <x:v>100000</x:v>
      </x:c>
      <x:c r="AA49" s="60" t="n">
        <x:v>100000</x:v>
      </x:c>
      <x:c r="AB49" s="60" t="n">
        <x:v>100000</x:v>
      </x:c>
      <x:c r="AC49" s="60" t="n">
        <x:v>100000</x:v>
      </x:c>
      <x:c r="AD49" s="60" t="n">
        <x:v>100000</x:v>
      </x:c>
      <x:c r="AE49" s="60" t="n">
        <x:v>100000</x:v>
      </x:c>
      <x:c r="AF49" s="60" t="n">
        <x:v>100000</x:v>
      </x:c>
      <x:c r="AG49" s="60" t="n">
        <x:v>100000</x:v>
      </x:c>
      <x:c r="AH49" s="60" t="n">
        <x:v>100000</x:v>
      </x:c>
      <x:c r="AI49" s="60" t="n">
        <x:v>100000</x:v>
      </x:c>
      <x:c r="AJ49" s="60" t="n">
        <x:v>100000</x:v>
      </x:c>
      <x:c r="AK49" s="60" t="n">
        <x:v>100000</x:v>
      </x:c>
      <x:c r="AL49" s="60" t="n">
        <x:v>100000</x:v>
      </x:c>
    </x:row>
    <x:row r="50">
      <x:c r="A50" s="47" t="str"/>
      <x:c r="B50" s="48" t="str">
        <x:v>Base</x:v>
      </x:c>
      <x:c r="C50" s="60" t="n">
        <x:v>150000</x:v>
      </x:c>
      <x:c r="D50" s="60" t="n">
        <x:v>150000</x:v>
      </x:c>
      <x:c r="E50" s="60" t="n">
        <x:v>150000</x:v>
      </x:c>
      <x:c r="F50" s="60" t="n">
        <x:v>150000</x:v>
      </x:c>
      <x:c r="G50" s="60" t="n">
        <x:v>150000</x:v>
      </x:c>
      <x:c r="H50" s="60" t="n">
        <x:v>150000</x:v>
      </x:c>
      <x:c r="I50" s="60" t="n">
        <x:v>150000</x:v>
      </x:c>
      <x:c r="J50" s="60" t="n">
        <x:v>150000</x:v>
      </x:c>
      <x:c r="K50" s="60" t="n">
        <x:v>150000</x:v>
      </x:c>
      <x:c r="L50" s="60" t="n">
        <x:v>150000</x:v>
      </x:c>
      <x:c r="M50" s="60" t="n">
        <x:v>150000</x:v>
      </x:c>
      <x:c r="N50" s="60" t="n">
        <x:v>150000</x:v>
      </x:c>
      <x:c r="O50" s="60" t="n">
        <x:v>150000</x:v>
      </x:c>
      <x:c r="P50" s="60" t="n">
        <x:v>150000</x:v>
      </x:c>
      <x:c r="Q50" s="60" t="n">
        <x:v>150000</x:v>
      </x:c>
      <x:c r="R50" s="60" t="n">
        <x:v>150000</x:v>
      </x:c>
      <x:c r="S50" s="60" t="n">
        <x:v>150000</x:v>
      </x:c>
      <x:c r="T50" s="60" t="n">
        <x:v>150000</x:v>
      </x:c>
      <x:c r="U50" s="60" t="n">
        <x:v>150000</x:v>
      </x:c>
      <x:c r="V50" s="60" t="n">
        <x:v>150000</x:v>
      </x:c>
      <x:c r="W50" s="60" t="n">
        <x:v>150000</x:v>
      </x:c>
      <x:c r="X50" s="60" t="n">
        <x:v>150000</x:v>
      </x:c>
      <x:c r="Y50" s="60" t="n">
        <x:v>150000</x:v>
      </x:c>
      <x:c r="Z50" s="60" t="n">
        <x:v>150000</x:v>
      </x:c>
      <x:c r="AA50" s="60" t="n">
        <x:v>150000</x:v>
      </x:c>
      <x:c r="AB50" s="60" t="n">
        <x:v>150000</x:v>
      </x:c>
      <x:c r="AC50" s="60" t="n">
        <x:v>150000</x:v>
      </x:c>
      <x:c r="AD50" s="60" t="n">
        <x:v>150000</x:v>
      </x:c>
      <x:c r="AE50" s="60" t="n">
        <x:v>150000</x:v>
      </x:c>
      <x:c r="AF50" s="60" t="n">
        <x:v>150000</x:v>
      </x:c>
      <x:c r="AG50" s="60" t="n">
        <x:v>150000</x:v>
      </x:c>
      <x:c r="AH50" s="60" t="n">
        <x:v>150000</x:v>
      </x:c>
      <x:c r="AI50" s="60" t="n">
        <x:v>150000</x:v>
      </x:c>
      <x:c r="AJ50" s="60" t="n">
        <x:v>150000</x:v>
      </x:c>
      <x:c r="AK50" s="60" t="n">
        <x:v>150000</x:v>
      </x:c>
      <x:c r="AL50" s="60" t="n">
        <x:v>150000</x:v>
      </x:c>
    </x:row>
    <x:row r="51">
      <x:c r="A51" s="47" t="str"/>
      <x:c r="B51" s="48" t="str">
        <x:v>Upside</x:v>
      </x:c>
      <x:c r="C51" s="60" t="n">
        <x:v>200000</x:v>
      </x:c>
      <x:c r="D51" s="60" t="n">
        <x:v>200000</x:v>
      </x:c>
      <x:c r="E51" s="60" t="n">
        <x:v>200000</x:v>
      </x:c>
      <x:c r="F51" s="60" t="n">
        <x:v>200000</x:v>
      </x:c>
      <x:c r="G51" s="60" t="n">
        <x:v>200000</x:v>
      </x:c>
      <x:c r="H51" s="60" t="n">
        <x:v>200000</x:v>
      </x:c>
      <x:c r="I51" s="60" t="n">
        <x:v>200000</x:v>
      </x:c>
      <x:c r="J51" s="60" t="n">
        <x:v>200000</x:v>
      </x:c>
      <x:c r="K51" s="60" t="n">
        <x:v>200000</x:v>
      </x:c>
      <x:c r="L51" s="60" t="n">
        <x:v>200000</x:v>
      </x:c>
      <x:c r="M51" s="60" t="n">
        <x:v>200000</x:v>
      </x:c>
      <x:c r="N51" s="60" t="n">
        <x:v>200000</x:v>
      </x:c>
      <x:c r="O51" s="60" t="n">
        <x:v>200000</x:v>
      </x:c>
      <x:c r="P51" s="60" t="n">
        <x:v>200000</x:v>
      </x:c>
      <x:c r="Q51" s="60" t="n">
        <x:v>200000</x:v>
      </x:c>
      <x:c r="R51" s="60" t="n">
        <x:v>200000</x:v>
      </x:c>
      <x:c r="S51" s="60" t="n">
        <x:v>200000</x:v>
      </x:c>
      <x:c r="T51" s="60" t="n">
        <x:v>200000</x:v>
      </x:c>
      <x:c r="U51" s="60" t="n">
        <x:v>200000</x:v>
      </x:c>
      <x:c r="V51" s="60" t="n">
        <x:v>200000</x:v>
      </x:c>
      <x:c r="W51" s="60" t="n">
        <x:v>200000</x:v>
      </x:c>
      <x:c r="X51" s="60" t="n">
        <x:v>200000</x:v>
      </x:c>
      <x:c r="Y51" s="60" t="n">
        <x:v>200000</x:v>
      </x:c>
      <x:c r="Z51" s="60" t="n">
        <x:v>200000</x:v>
      </x:c>
      <x:c r="AA51" s="60" t="n">
        <x:v>200000</x:v>
      </x:c>
      <x:c r="AB51" s="60" t="n">
        <x:v>200000</x:v>
      </x:c>
      <x:c r="AC51" s="60" t="n">
        <x:v>200000</x:v>
      </x:c>
      <x:c r="AD51" s="60" t="n">
        <x:v>200000</x:v>
      </x:c>
      <x:c r="AE51" s="60" t="n">
        <x:v>200000</x:v>
      </x:c>
      <x:c r="AF51" s="60" t="n">
        <x:v>200000</x:v>
      </x:c>
      <x:c r="AG51" s="60" t="n">
        <x:v>200000</x:v>
      </x:c>
      <x:c r="AH51" s="60" t="n">
        <x:v>200000</x:v>
      </x:c>
      <x:c r="AI51" s="60" t="n">
        <x:v>200000</x:v>
      </x:c>
      <x:c r="AJ51" s="60" t="n">
        <x:v>200000</x:v>
      </x:c>
      <x:c r="AK51" s="60" t="n">
        <x:v>200000</x:v>
      </x:c>
      <x:c r="AL51" s="60" t="n">
        <x:v>200000</x:v>
      </x:c>
    </x:row>
    <x:row r="52">
      <x:c r="A52" s="39" t="str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</x:row>
    <x:row r="53">
      <x:c r="A53" s="46" t="str">
        <x:v>Other Usage or Outcome Revenue / Customer</x:v>
      </x:c>
      <x:c r="B53" s="46" t="str">
        <x:v>Selected | KRW / month</x:v>
      </x:c>
      <x:c r="C53" s="61" t="n">
        <x:f>IF($D$6="Downside",C54,IF($D$6="Base",C55,C56))</x:f>
        <x:v>500000</x:v>
      </x:c>
      <x:c r="D53" s="61" t="n">
        <x:f>IF($D$6="Downside",D54,IF($D$6="Base",D55,D56))</x:f>
        <x:v>500000</x:v>
      </x:c>
      <x:c r="E53" s="61" t="n">
        <x:f>IF($D$6="Downside",E54,IF($D$6="Base",E55,E56))</x:f>
        <x:v>500000</x:v>
      </x:c>
      <x:c r="F53" s="61" t="n">
        <x:f>IF($D$6="Downside",F54,IF($D$6="Base",F55,F56))</x:f>
        <x:v>500000</x:v>
      </x:c>
      <x:c r="G53" s="61" t="n">
        <x:f>IF($D$6="Downside",G54,IF($D$6="Base",G55,G56))</x:f>
        <x:v>500000</x:v>
      </x:c>
      <x:c r="H53" s="61" t="n">
        <x:f>IF($D$6="Downside",H54,IF($D$6="Base",H55,H56))</x:f>
        <x:v>500000</x:v>
      </x:c>
      <x:c r="I53" s="61" t="n">
        <x:f>IF($D$6="Downside",I54,IF($D$6="Base",I55,I56))</x:f>
        <x:v>500000</x:v>
      </x:c>
      <x:c r="J53" s="61" t="n">
        <x:f>IF($D$6="Downside",J54,IF($D$6="Base",J55,J56))</x:f>
        <x:v>500000</x:v>
      </x:c>
      <x:c r="K53" s="61" t="n">
        <x:f>IF($D$6="Downside",K54,IF($D$6="Base",K55,K56))</x:f>
        <x:v>500000</x:v>
      </x:c>
      <x:c r="L53" s="61" t="n">
        <x:f>IF($D$6="Downside",L54,IF($D$6="Base",L55,L56))</x:f>
        <x:v>500000</x:v>
      </x:c>
      <x:c r="M53" s="61" t="n">
        <x:f>IF($D$6="Downside",M54,IF($D$6="Base",M55,M56))</x:f>
        <x:v>500000</x:v>
      </x:c>
      <x:c r="N53" s="61" t="n">
        <x:f>IF($D$6="Downside",N54,IF($D$6="Base",N55,N56))</x:f>
        <x:v>500000</x:v>
      </x:c>
      <x:c r="O53" s="61" t="n">
        <x:f>IF($D$6="Downside",O54,IF($D$6="Base",O55,O56))</x:f>
        <x:v>500000</x:v>
      </x:c>
      <x:c r="P53" s="61" t="n">
        <x:f>IF($D$6="Downside",P54,IF($D$6="Base",P55,P56))</x:f>
        <x:v>500000</x:v>
      </x:c>
      <x:c r="Q53" s="61" t="n">
        <x:f>IF($D$6="Downside",Q54,IF($D$6="Base",Q55,Q56))</x:f>
        <x:v>500000</x:v>
      </x:c>
      <x:c r="R53" s="61" t="n">
        <x:f>IF($D$6="Downside",R54,IF($D$6="Base",R55,R56))</x:f>
        <x:v>500000</x:v>
      </x:c>
      <x:c r="S53" s="61" t="n">
        <x:f>IF($D$6="Downside",S54,IF($D$6="Base",S55,S56))</x:f>
        <x:v>500000</x:v>
      </x:c>
      <x:c r="T53" s="61" t="n">
        <x:f>IF($D$6="Downside",T54,IF($D$6="Base",T55,T56))</x:f>
        <x:v>500000</x:v>
      </x:c>
      <x:c r="U53" s="61" t="n">
        <x:f>IF($D$6="Downside",U54,IF($D$6="Base",U55,U56))</x:f>
        <x:v>500000</x:v>
      </x:c>
      <x:c r="V53" s="61" t="n">
        <x:f>IF($D$6="Downside",V54,IF($D$6="Base",V55,V56))</x:f>
        <x:v>500000</x:v>
      </x:c>
      <x:c r="W53" s="61" t="n">
        <x:f>IF($D$6="Downside",W54,IF($D$6="Base",W55,W56))</x:f>
        <x:v>500000</x:v>
      </x:c>
      <x:c r="X53" s="61" t="n">
        <x:f>IF($D$6="Downside",X54,IF($D$6="Base",X55,X56))</x:f>
        <x:v>500000</x:v>
      </x:c>
      <x:c r="Y53" s="61" t="n">
        <x:f>IF($D$6="Downside",Y54,IF($D$6="Base",Y55,Y56))</x:f>
        <x:v>500000</x:v>
      </x:c>
      <x:c r="Z53" s="61" t="n">
        <x:f>IF($D$6="Downside",Z54,IF($D$6="Base",Z55,Z56))</x:f>
        <x:v>500000</x:v>
      </x:c>
      <x:c r="AA53" s="61" t="n">
        <x:f>IF($D$6="Downside",AA54,IF($D$6="Base",AA55,AA56))</x:f>
        <x:v>500000</x:v>
      </x:c>
      <x:c r="AB53" s="61" t="n">
        <x:f>IF($D$6="Downside",AB54,IF($D$6="Base",AB55,AB56))</x:f>
        <x:v>500000</x:v>
      </x:c>
      <x:c r="AC53" s="61" t="n">
        <x:f>IF($D$6="Downside",AC54,IF($D$6="Base",AC55,AC56))</x:f>
        <x:v>500000</x:v>
      </x:c>
      <x:c r="AD53" s="61" t="n">
        <x:f>IF($D$6="Downside",AD54,IF($D$6="Base",AD55,AD56))</x:f>
        <x:v>500000</x:v>
      </x:c>
      <x:c r="AE53" s="61" t="n">
        <x:f>IF($D$6="Downside",AE54,IF($D$6="Base",AE55,AE56))</x:f>
        <x:v>500000</x:v>
      </x:c>
      <x:c r="AF53" s="61" t="n">
        <x:f>IF($D$6="Downside",AF54,IF($D$6="Base",AF55,AF56))</x:f>
        <x:v>500000</x:v>
      </x:c>
      <x:c r="AG53" s="61" t="n">
        <x:f>IF($D$6="Downside",AG54,IF($D$6="Base",AG55,AG56))</x:f>
        <x:v>500000</x:v>
      </x:c>
      <x:c r="AH53" s="61" t="n">
        <x:f>IF($D$6="Downside",AH54,IF($D$6="Base",AH55,AH56))</x:f>
        <x:v>500000</x:v>
      </x:c>
      <x:c r="AI53" s="61" t="n">
        <x:f>IF($D$6="Downside",AI54,IF($D$6="Base",AI55,AI56))</x:f>
        <x:v>500000</x:v>
      </x:c>
      <x:c r="AJ53" s="61" t="n">
        <x:f>IF($D$6="Downside",AJ54,IF($D$6="Base",AJ55,AJ56))</x:f>
        <x:v>500000</x:v>
      </x:c>
      <x:c r="AK53" s="61" t="n">
        <x:f>IF($D$6="Downside",AK54,IF($D$6="Base",AK55,AK56))</x:f>
        <x:v>500000</x:v>
      </x:c>
      <x:c r="AL53" s="61" t="n">
        <x:f>IF($D$6="Downside",AL54,IF($D$6="Base",AL55,AL56))</x:f>
        <x:v>500000</x:v>
      </x:c>
    </x:row>
    <x:row r="54">
      <x:c r="A54" s="47" t="str"/>
      <x:c r="B54" s="48" t="str">
        <x:v>Downside</x:v>
      </x:c>
      <x:c r="C54" s="60" t="n">
        <x:v>0</x:v>
      </x:c>
      <x:c r="D54" s="60" t="n">
        <x:v>0</x:v>
      </x:c>
      <x:c r="E54" s="60" t="n">
        <x:v>0</x:v>
      </x:c>
      <x:c r="F54" s="60" t="n">
        <x:v>0</x:v>
      </x:c>
      <x:c r="G54" s="60" t="n">
        <x:v>0</x:v>
      </x:c>
      <x:c r="H54" s="60" t="n">
        <x:v>0</x:v>
      </x:c>
      <x:c r="I54" s="60" t="n">
        <x:v>0</x:v>
      </x:c>
      <x:c r="J54" s="60" t="n">
        <x:v>0</x:v>
      </x:c>
      <x:c r="K54" s="60" t="n">
        <x:v>0</x:v>
      </x:c>
      <x:c r="L54" s="60" t="n">
        <x:v>0</x:v>
      </x:c>
      <x:c r="M54" s="60" t="n">
        <x:v>0</x:v>
      </x:c>
      <x:c r="N54" s="60" t="n">
        <x:v>0</x:v>
      </x:c>
      <x:c r="O54" s="60" t="n">
        <x:v>0</x:v>
      </x:c>
      <x:c r="P54" s="60" t="n">
        <x:v>0</x:v>
      </x:c>
      <x:c r="Q54" s="60" t="n">
        <x:v>0</x:v>
      </x:c>
      <x:c r="R54" s="60" t="n">
        <x:v>0</x:v>
      </x:c>
      <x:c r="S54" s="60" t="n">
        <x:v>0</x:v>
      </x:c>
      <x:c r="T54" s="60" t="n">
        <x:v>0</x:v>
      </x:c>
      <x:c r="U54" s="60" t="n">
        <x:v>0</x:v>
      </x:c>
      <x:c r="V54" s="60" t="n">
        <x:v>0</x:v>
      </x:c>
      <x:c r="W54" s="60" t="n">
        <x:v>0</x:v>
      </x:c>
      <x:c r="X54" s="60" t="n">
        <x:v>0</x:v>
      </x:c>
      <x:c r="Y54" s="60" t="n">
        <x:v>0</x:v>
      </x:c>
      <x:c r="Z54" s="60" t="n">
        <x:v>0</x:v>
      </x:c>
      <x:c r="AA54" s="60" t="n">
        <x:v>0</x:v>
      </x:c>
      <x:c r="AB54" s="60" t="n">
        <x:v>0</x:v>
      </x:c>
      <x:c r="AC54" s="60" t="n">
        <x:v>0</x:v>
      </x:c>
      <x:c r="AD54" s="60" t="n">
        <x:v>0</x:v>
      </x:c>
      <x:c r="AE54" s="60" t="n">
        <x:v>0</x:v>
      </x:c>
      <x:c r="AF54" s="60" t="n">
        <x:v>0</x:v>
      </x:c>
      <x:c r="AG54" s="60" t="n">
        <x:v>0</x:v>
      </x:c>
      <x:c r="AH54" s="60" t="n">
        <x:v>0</x:v>
      </x:c>
      <x:c r="AI54" s="60" t="n">
        <x:v>0</x:v>
      </x:c>
      <x:c r="AJ54" s="60" t="n">
        <x:v>0</x:v>
      </x:c>
      <x:c r="AK54" s="60" t="n">
        <x:v>0</x:v>
      </x:c>
      <x:c r="AL54" s="60" t="n">
        <x:v>0</x:v>
      </x:c>
    </x:row>
    <x:row r="55">
      <x:c r="A55" s="47" t="str"/>
      <x:c r="B55" s="48" t="str">
        <x:v>Base</x:v>
      </x:c>
      <x:c r="C55" s="60" t="n">
        <x:v>500000</x:v>
      </x:c>
      <x:c r="D55" s="60" t="n">
        <x:v>500000</x:v>
      </x:c>
      <x:c r="E55" s="60" t="n">
        <x:v>500000</x:v>
      </x:c>
      <x:c r="F55" s="60" t="n">
        <x:v>500000</x:v>
      </x:c>
      <x:c r="G55" s="60" t="n">
        <x:v>500000</x:v>
      </x:c>
      <x:c r="H55" s="60" t="n">
        <x:v>500000</x:v>
      </x:c>
      <x:c r="I55" s="60" t="n">
        <x:v>500000</x:v>
      </x:c>
      <x:c r="J55" s="60" t="n">
        <x:v>500000</x:v>
      </x:c>
      <x:c r="K55" s="60" t="n">
        <x:v>500000</x:v>
      </x:c>
      <x:c r="L55" s="60" t="n">
        <x:v>500000</x:v>
      </x:c>
      <x:c r="M55" s="60" t="n">
        <x:v>500000</x:v>
      </x:c>
      <x:c r="N55" s="60" t="n">
        <x:v>500000</x:v>
      </x:c>
      <x:c r="O55" s="60" t="n">
        <x:v>500000</x:v>
      </x:c>
      <x:c r="P55" s="60" t="n">
        <x:v>500000</x:v>
      </x:c>
      <x:c r="Q55" s="60" t="n">
        <x:v>500000</x:v>
      </x:c>
      <x:c r="R55" s="60" t="n">
        <x:v>500000</x:v>
      </x:c>
      <x:c r="S55" s="60" t="n">
        <x:v>500000</x:v>
      </x:c>
      <x:c r="T55" s="60" t="n">
        <x:v>500000</x:v>
      </x:c>
      <x:c r="U55" s="60" t="n">
        <x:v>500000</x:v>
      </x:c>
      <x:c r="V55" s="60" t="n">
        <x:v>500000</x:v>
      </x:c>
      <x:c r="W55" s="60" t="n">
        <x:v>500000</x:v>
      </x:c>
      <x:c r="X55" s="60" t="n">
        <x:v>500000</x:v>
      </x:c>
      <x:c r="Y55" s="60" t="n">
        <x:v>500000</x:v>
      </x:c>
      <x:c r="Z55" s="60" t="n">
        <x:v>500000</x:v>
      </x:c>
      <x:c r="AA55" s="60" t="n">
        <x:v>500000</x:v>
      </x:c>
      <x:c r="AB55" s="60" t="n">
        <x:v>500000</x:v>
      </x:c>
      <x:c r="AC55" s="60" t="n">
        <x:v>500000</x:v>
      </x:c>
      <x:c r="AD55" s="60" t="n">
        <x:v>500000</x:v>
      </x:c>
      <x:c r="AE55" s="60" t="n">
        <x:v>500000</x:v>
      </x:c>
      <x:c r="AF55" s="60" t="n">
        <x:v>500000</x:v>
      </x:c>
      <x:c r="AG55" s="60" t="n">
        <x:v>500000</x:v>
      </x:c>
      <x:c r="AH55" s="60" t="n">
        <x:v>500000</x:v>
      </x:c>
      <x:c r="AI55" s="60" t="n">
        <x:v>500000</x:v>
      </x:c>
      <x:c r="AJ55" s="60" t="n">
        <x:v>500000</x:v>
      </x:c>
      <x:c r="AK55" s="60" t="n">
        <x:v>500000</x:v>
      </x:c>
      <x:c r="AL55" s="60" t="n">
        <x:v>500000</x:v>
      </x:c>
    </x:row>
    <x:row r="56">
      <x:c r="A56" s="47" t="str"/>
      <x:c r="B56" s="48" t="str">
        <x:v>Upside</x:v>
      </x:c>
      <x:c r="C56" s="60" t="n">
        <x:v>1000000</x:v>
      </x:c>
      <x:c r="D56" s="60" t="n">
        <x:v>1000000</x:v>
      </x:c>
      <x:c r="E56" s="60" t="n">
        <x:v>1000000</x:v>
      </x:c>
      <x:c r="F56" s="60" t="n">
        <x:v>1000000</x:v>
      </x:c>
      <x:c r="G56" s="60" t="n">
        <x:v>1000000</x:v>
      </x:c>
      <x:c r="H56" s="60" t="n">
        <x:v>1000000</x:v>
      </x:c>
      <x:c r="I56" s="60" t="n">
        <x:v>1000000</x:v>
      </x:c>
      <x:c r="J56" s="60" t="n">
        <x:v>1000000</x:v>
      </x:c>
      <x:c r="K56" s="60" t="n">
        <x:v>1000000</x:v>
      </x:c>
      <x:c r="L56" s="60" t="n">
        <x:v>1000000</x:v>
      </x:c>
      <x:c r="M56" s="60" t="n">
        <x:v>1000000</x:v>
      </x:c>
      <x:c r="N56" s="60" t="n">
        <x:v>1000000</x:v>
      </x:c>
      <x:c r="O56" s="60" t="n">
        <x:v>1000000</x:v>
      </x:c>
      <x:c r="P56" s="60" t="n">
        <x:v>1000000</x:v>
      </x:c>
      <x:c r="Q56" s="60" t="n">
        <x:v>1000000</x:v>
      </x:c>
      <x:c r="R56" s="60" t="n">
        <x:v>1000000</x:v>
      </x:c>
      <x:c r="S56" s="60" t="n">
        <x:v>1000000</x:v>
      </x:c>
      <x:c r="T56" s="60" t="n">
        <x:v>1000000</x:v>
      </x:c>
      <x:c r="U56" s="60" t="n">
        <x:v>1000000</x:v>
      </x:c>
      <x:c r="V56" s="60" t="n">
        <x:v>1000000</x:v>
      </x:c>
      <x:c r="W56" s="60" t="n">
        <x:v>1000000</x:v>
      </x:c>
      <x:c r="X56" s="60" t="n">
        <x:v>1000000</x:v>
      </x:c>
      <x:c r="Y56" s="60" t="n">
        <x:v>1000000</x:v>
      </x:c>
      <x:c r="Z56" s="60" t="n">
        <x:v>1000000</x:v>
      </x:c>
      <x:c r="AA56" s="60" t="n">
        <x:v>1000000</x:v>
      </x:c>
      <x:c r="AB56" s="60" t="n">
        <x:v>1000000</x:v>
      </x:c>
      <x:c r="AC56" s="60" t="n">
        <x:v>1000000</x:v>
      </x:c>
      <x:c r="AD56" s="60" t="n">
        <x:v>1000000</x:v>
      </x:c>
      <x:c r="AE56" s="60" t="n">
        <x:v>1000000</x:v>
      </x:c>
      <x:c r="AF56" s="60" t="n">
        <x:v>1000000</x:v>
      </x:c>
      <x:c r="AG56" s="60" t="n">
        <x:v>1000000</x:v>
      </x:c>
      <x:c r="AH56" s="60" t="n">
        <x:v>1000000</x:v>
      </x:c>
      <x:c r="AI56" s="60" t="n">
        <x:v>1000000</x:v>
      </x:c>
      <x:c r="AJ56" s="60" t="n">
        <x:v>1000000</x:v>
      </x:c>
      <x:c r="AK56" s="60" t="n">
        <x:v>1000000</x:v>
      </x:c>
      <x:c r="AL56" s="60" t="n">
        <x:v>1000000</x:v>
      </x:c>
    </x:row>
    <x:row r="57">
      <x:c r="A57" s="39" t="str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</x:row>
    <x:row r="58">
      <x:c r="A58" s="46" t="str">
        <x:v>Input Tokens / Workflow</x:v>
      </x:c>
      <x:c r="B58" s="46" t="str">
        <x:v>Selected | tokens</x:v>
      </x:c>
      <x:c r="C58" s="64" t="n">
        <x:f>IF($D$6="Downside",C59,IF($D$6="Base",C60,C61))</x:f>
        <x:v>100000</x:v>
      </x:c>
      <x:c r="D58" s="64" t="n">
        <x:f>IF($D$6="Downside",D59,IF($D$6="Base",D60,D61))</x:f>
        <x:v>100000</x:v>
      </x:c>
      <x:c r="E58" s="64" t="n">
        <x:f>IF($D$6="Downside",E59,IF($D$6="Base",E60,E61))</x:f>
        <x:v>100000</x:v>
      </x:c>
      <x:c r="F58" s="64" t="n">
        <x:f>IF($D$6="Downside",F59,IF($D$6="Base",F60,F61))</x:f>
        <x:v>100000</x:v>
      </x:c>
      <x:c r="G58" s="64" t="n">
        <x:f>IF($D$6="Downside",G59,IF($D$6="Base",G60,G61))</x:f>
        <x:v>100000</x:v>
      </x:c>
      <x:c r="H58" s="64" t="n">
        <x:f>IF($D$6="Downside",H59,IF($D$6="Base",H60,H61))</x:f>
        <x:v>100000</x:v>
      </x:c>
      <x:c r="I58" s="64" t="n">
        <x:f>IF($D$6="Downside",I59,IF($D$6="Base",I60,I61))</x:f>
        <x:v>100000</x:v>
      </x:c>
      <x:c r="J58" s="64" t="n">
        <x:f>IF($D$6="Downside",J59,IF($D$6="Base",J60,J61))</x:f>
        <x:v>100000</x:v>
      </x:c>
      <x:c r="K58" s="64" t="n">
        <x:f>IF($D$6="Downside",K59,IF($D$6="Base",K60,K61))</x:f>
        <x:v>100000</x:v>
      </x:c>
      <x:c r="L58" s="64" t="n">
        <x:f>IF($D$6="Downside",L59,IF($D$6="Base",L60,L61))</x:f>
        <x:v>100000</x:v>
      </x:c>
      <x:c r="M58" s="64" t="n">
        <x:f>IF($D$6="Downside",M59,IF($D$6="Base",M60,M61))</x:f>
        <x:v>100000</x:v>
      </x:c>
      <x:c r="N58" s="64" t="n">
        <x:f>IF($D$6="Downside",N59,IF($D$6="Base",N60,N61))</x:f>
        <x:v>100000</x:v>
      </x:c>
      <x:c r="O58" s="64" t="n">
        <x:f>IF($D$6="Downside",O59,IF($D$6="Base",O60,O61))</x:f>
        <x:v>100000</x:v>
      </x:c>
      <x:c r="P58" s="64" t="n">
        <x:f>IF($D$6="Downside",P59,IF($D$6="Base",P60,P61))</x:f>
        <x:v>100000</x:v>
      </x:c>
      <x:c r="Q58" s="64" t="n">
        <x:f>IF($D$6="Downside",Q59,IF($D$6="Base",Q60,Q61))</x:f>
        <x:v>100000</x:v>
      </x:c>
      <x:c r="R58" s="64" t="n">
        <x:f>IF($D$6="Downside",R59,IF($D$6="Base",R60,R61))</x:f>
        <x:v>100000</x:v>
      </x:c>
      <x:c r="S58" s="64" t="n">
        <x:f>IF($D$6="Downside",S59,IF($D$6="Base",S60,S61))</x:f>
        <x:v>100000</x:v>
      </x:c>
      <x:c r="T58" s="64" t="n">
        <x:f>IF($D$6="Downside",T59,IF($D$6="Base",T60,T61))</x:f>
        <x:v>100000</x:v>
      </x:c>
      <x:c r="U58" s="64" t="n">
        <x:f>IF($D$6="Downside",U59,IF($D$6="Base",U60,U61))</x:f>
        <x:v>100000</x:v>
      </x:c>
      <x:c r="V58" s="64" t="n">
        <x:f>IF($D$6="Downside",V59,IF($D$6="Base",V60,V61))</x:f>
        <x:v>100000</x:v>
      </x:c>
      <x:c r="W58" s="64" t="n">
        <x:f>IF($D$6="Downside",W59,IF($D$6="Base",W60,W61))</x:f>
        <x:v>100000</x:v>
      </x:c>
      <x:c r="X58" s="64" t="n">
        <x:f>IF($D$6="Downside",X59,IF($D$6="Base",X60,X61))</x:f>
        <x:v>100000</x:v>
      </x:c>
      <x:c r="Y58" s="64" t="n">
        <x:f>IF($D$6="Downside",Y59,IF($D$6="Base",Y60,Y61))</x:f>
        <x:v>100000</x:v>
      </x:c>
      <x:c r="Z58" s="64" t="n">
        <x:f>IF($D$6="Downside",Z59,IF($D$6="Base",Z60,Z61))</x:f>
        <x:v>100000</x:v>
      </x:c>
      <x:c r="AA58" s="64" t="n">
        <x:f>IF($D$6="Downside",AA59,IF($D$6="Base",AA60,AA61))</x:f>
        <x:v>100000</x:v>
      </x:c>
      <x:c r="AB58" s="64" t="n">
        <x:f>IF($D$6="Downside",AB59,IF($D$6="Base",AB60,AB61))</x:f>
        <x:v>100000</x:v>
      </x:c>
      <x:c r="AC58" s="64" t="n">
        <x:f>IF($D$6="Downside",AC59,IF($D$6="Base",AC60,AC61))</x:f>
        <x:v>100000</x:v>
      </x:c>
      <x:c r="AD58" s="64" t="n">
        <x:f>IF($D$6="Downside",AD59,IF($D$6="Base",AD60,AD61))</x:f>
        <x:v>100000</x:v>
      </x:c>
      <x:c r="AE58" s="64" t="n">
        <x:f>IF($D$6="Downside",AE59,IF($D$6="Base",AE60,AE61))</x:f>
        <x:v>100000</x:v>
      </x:c>
      <x:c r="AF58" s="64" t="n">
        <x:f>IF($D$6="Downside",AF59,IF($D$6="Base",AF60,AF61))</x:f>
        <x:v>100000</x:v>
      </x:c>
      <x:c r="AG58" s="64" t="n">
        <x:f>IF($D$6="Downside",AG59,IF($D$6="Base",AG60,AG61))</x:f>
        <x:v>100000</x:v>
      </x:c>
      <x:c r="AH58" s="64" t="n">
        <x:f>IF($D$6="Downside",AH59,IF($D$6="Base",AH60,AH61))</x:f>
        <x:v>100000</x:v>
      </x:c>
      <x:c r="AI58" s="64" t="n">
        <x:f>IF($D$6="Downside",AI59,IF($D$6="Base",AI60,AI61))</x:f>
        <x:v>100000</x:v>
      </x:c>
      <x:c r="AJ58" s="64" t="n">
        <x:f>IF($D$6="Downside",AJ59,IF($D$6="Base",AJ60,AJ61))</x:f>
        <x:v>100000</x:v>
      </x:c>
      <x:c r="AK58" s="64" t="n">
        <x:f>IF($D$6="Downside",AK59,IF($D$6="Base",AK60,AK61))</x:f>
        <x:v>100000</x:v>
      </x:c>
      <x:c r="AL58" s="64" t="n">
        <x:f>IF($D$6="Downside",AL59,IF($D$6="Base",AL60,AL61))</x:f>
        <x:v>100000</x:v>
      </x:c>
    </x:row>
    <x:row r="59">
      <x:c r="A59" s="47" t="str"/>
      <x:c r="B59" s="48" t="str">
        <x:v>Downside</x:v>
      </x:c>
      <x:c r="C59" s="63" t="n">
        <x:v>120000</x:v>
      </x:c>
      <x:c r="D59" s="63" t="n">
        <x:v>120000</x:v>
      </x:c>
      <x:c r="E59" s="63" t="n">
        <x:v>120000</x:v>
      </x:c>
      <x:c r="F59" s="63" t="n">
        <x:v>120000</x:v>
      </x:c>
      <x:c r="G59" s="63" t="n">
        <x:v>120000</x:v>
      </x:c>
      <x:c r="H59" s="63" t="n">
        <x:v>120000</x:v>
      </x:c>
      <x:c r="I59" s="63" t="n">
        <x:v>120000</x:v>
      </x:c>
      <x:c r="J59" s="63" t="n">
        <x:v>120000</x:v>
      </x:c>
      <x:c r="K59" s="63" t="n">
        <x:v>120000</x:v>
      </x:c>
      <x:c r="L59" s="63" t="n">
        <x:v>120000</x:v>
      </x:c>
      <x:c r="M59" s="63" t="n">
        <x:v>120000</x:v>
      </x:c>
      <x:c r="N59" s="63" t="n">
        <x:v>120000</x:v>
      </x:c>
      <x:c r="O59" s="63" t="n">
        <x:v>120000</x:v>
      </x:c>
      <x:c r="P59" s="63" t="n">
        <x:v>120000</x:v>
      </x:c>
      <x:c r="Q59" s="63" t="n">
        <x:v>120000</x:v>
      </x:c>
      <x:c r="R59" s="63" t="n">
        <x:v>120000</x:v>
      </x:c>
      <x:c r="S59" s="63" t="n">
        <x:v>120000</x:v>
      </x:c>
      <x:c r="T59" s="63" t="n">
        <x:v>120000</x:v>
      </x:c>
      <x:c r="U59" s="63" t="n">
        <x:v>120000</x:v>
      </x:c>
      <x:c r="V59" s="63" t="n">
        <x:v>120000</x:v>
      </x:c>
      <x:c r="W59" s="63" t="n">
        <x:v>120000</x:v>
      </x:c>
      <x:c r="X59" s="63" t="n">
        <x:v>120000</x:v>
      </x:c>
      <x:c r="Y59" s="63" t="n">
        <x:v>120000</x:v>
      </x:c>
      <x:c r="Z59" s="63" t="n">
        <x:v>120000</x:v>
      </x:c>
      <x:c r="AA59" s="63" t="n">
        <x:v>120000</x:v>
      </x:c>
      <x:c r="AB59" s="63" t="n">
        <x:v>120000</x:v>
      </x:c>
      <x:c r="AC59" s="63" t="n">
        <x:v>120000</x:v>
      </x:c>
      <x:c r="AD59" s="63" t="n">
        <x:v>120000</x:v>
      </x:c>
      <x:c r="AE59" s="63" t="n">
        <x:v>120000</x:v>
      </x:c>
      <x:c r="AF59" s="63" t="n">
        <x:v>120000</x:v>
      </x:c>
      <x:c r="AG59" s="63" t="n">
        <x:v>120000</x:v>
      </x:c>
      <x:c r="AH59" s="63" t="n">
        <x:v>120000</x:v>
      </x:c>
      <x:c r="AI59" s="63" t="n">
        <x:v>120000</x:v>
      </x:c>
      <x:c r="AJ59" s="63" t="n">
        <x:v>120000</x:v>
      </x:c>
      <x:c r="AK59" s="63" t="n">
        <x:v>120000</x:v>
      </x:c>
      <x:c r="AL59" s="63" t="n">
        <x:v>120000</x:v>
      </x:c>
    </x:row>
    <x:row r="60">
      <x:c r="A60" s="47" t="str"/>
      <x:c r="B60" s="48" t="str">
        <x:v>Base</x:v>
      </x:c>
      <x:c r="C60" s="63" t="n">
        <x:v>100000</x:v>
      </x:c>
      <x:c r="D60" s="63" t="n">
        <x:v>100000</x:v>
      </x:c>
      <x:c r="E60" s="63" t="n">
        <x:v>100000</x:v>
      </x:c>
      <x:c r="F60" s="63" t="n">
        <x:v>100000</x:v>
      </x:c>
      <x:c r="G60" s="63" t="n">
        <x:v>100000</x:v>
      </x:c>
      <x:c r="H60" s="63" t="n">
        <x:v>100000</x:v>
      </x:c>
      <x:c r="I60" s="63" t="n">
        <x:v>100000</x:v>
      </x:c>
      <x:c r="J60" s="63" t="n">
        <x:v>100000</x:v>
      </x:c>
      <x:c r="K60" s="63" t="n">
        <x:v>100000</x:v>
      </x:c>
      <x:c r="L60" s="63" t="n">
        <x:v>100000</x:v>
      </x:c>
      <x:c r="M60" s="63" t="n">
        <x:v>100000</x:v>
      </x:c>
      <x:c r="N60" s="63" t="n">
        <x:v>100000</x:v>
      </x:c>
      <x:c r="O60" s="63" t="n">
        <x:v>100000</x:v>
      </x:c>
      <x:c r="P60" s="63" t="n">
        <x:v>100000</x:v>
      </x:c>
      <x:c r="Q60" s="63" t="n">
        <x:v>100000</x:v>
      </x:c>
      <x:c r="R60" s="63" t="n">
        <x:v>100000</x:v>
      </x:c>
      <x:c r="S60" s="63" t="n">
        <x:v>100000</x:v>
      </x:c>
      <x:c r="T60" s="63" t="n">
        <x:v>100000</x:v>
      </x:c>
      <x:c r="U60" s="63" t="n">
        <x:v>100000</x:v>
      </x:c>
      <x:c r="V60" s="63" t="n">
        <x:v>100000</x:v>
      </x:c>
      <x:c r="W60" s="63" t="n">
        <x:v>100000</x:v>
      </x:c>
      <x:c r="X60" s="63" t="n">
        <x:v>100000</x:v>
      </x:c>
      <x:c r="Y60" s="63" t="n">
        <x:v>100000</x:v>
      </x:c>
      <x:c r="Z60" s="63" t="n">
        <x:v>100000</x:v>
      </x:c>
      <x:c r="AA60" s="63" t="n">
        <x:v>100000</x:v>
      </x:c>
      <x:c r="AB60" s="63" t="n">
        <x:v>100000</x:v>
      </x:c>
      <x:c r="AC60" s="63" t="n">
        <x:v>100000</x:v>
      </x:c>
      <x:c r="AD60" s="63" t="n">
        <x:v>100000</x:v>
      </x:c>
      <x:c r="AE60" s="63" t="n">
        <x:v>100000</x:v>
      </x:c>
      <x:c r="AF60" s="63" t="n">
        <x:v>100000</x:v>
      </x:c>
      <x:c r="AG60" s="63" t="n">
        <x:v>100000</x:v>
      </x:c>
      <x:c r="AH60" s="63" t="n">
        <x:v>100000</x:v>
      </x:c>
      <x:c r="AI60" s="63" t="n">
        <x:v>100000</x:v>
      </x:c>
      <x:c r="AJ60" s="63" t="n">
        <x:v>100000</x:v>
      </x:c>
      <x:c r="AK60" s="63" t="n">
        <x:v>100000</x:v>
      </x:c>
      <x:c r="AL60" s="63" t="n">
        <x:v>100000</x:v>
      </x:c>
    </x:row>
    <x:row r="61">
      <x:c r="A61" s="47" t="str"/>
      <x:c r="B61" s="48" t="str">
        <x:v>Upside</x:v>
      </x:c>
      <x:c r="C61" s="63" t="n">
        <x:v>80000</x:v>
      </x:c>
      <x:c r="D61" s="63" t="n">
        <x:v>80000</x:v>
      </x:c>
      <x:c r="E61" s="63" t="n">
        <x:v>80000</x:v>
      </x:c>
      <x:c r="F61" s="63" t="n">
        <x:v>80000</x:v>
      </x:c>
      <x:c r="G61" s="63" t="n">
        <x:v>80000</x:v>
      </x:c>
      <x:c r="H61" s="63" t="n">
        <x:v>80000</x:v>
      </x:c>
      <x:c r="I61" s="63" t="n">
        <x:v>80000</x:v>
      </x:c>
      <x:c r="J61" s="63" t="n">
        <x:v>80000</x:v>
      </x:c>
      <x:c r="K61" s="63" t="n">
        <x:v>80000</x:v>
      </x:c>
      <x:c r="L61" s="63" t="n">
        <x:v>80000</x:v>
      </x:c>
      <x:c r="M61" s="63" t="n">
        <x:v>80000</x:v>
      </x:c>
      <x:c r="N61" s="63" t="n">
        <x:v>80000</x:v>
      </x:c>
      <x:c r="O61" s="63" t="n">
        <x:v>80000</x:v>
      </x:c>
      <x:c r="P61" s="63" t="n">
        <x:v>80000</x:v>
      </x:c>
      <x:c r="Q61" s="63" t="n">
        <x:v>80000</x:v>
      </x:c>
      <x:c r="R61" s="63" t="n">
        <x:v>80000</x:v>
      </x:c>
      <x:c r="S61" s="63" t="n">
        <x:v>80000</x:v>
      </x:c>
      <x:c r="T61" s="63" t="n">
        <x:v>80000</x:v>
      </x:c>
      <x:c r="U61" s="63" t="n">
        <x:v>80000</x:v>
      </x:c>
      <x:c r="V61" s="63" t="n">
        <x:v>80000</x:v>
      </x:c>
      <x:c r="W61" s="63" t="n">
        <x:v>80000</x:v>
      </x:c>
      <x:c r="X61" s="63" t="n">
        <x:v>80000</x:v>
      </x:c>
      <x:c r="Y61" s="63" t="n">
        <x:v>80000</x:v>
      </x:c>
      <x:c r="Z61" s="63" t="n">
        <x:v>80000</x:v>
      </x:c>
      <x:c r="AA61" s="63" t="n">
        <x:v>80000</x:v>
      </x:c>
      <x:c r="AB61" s="63" t="n">
        <x:v>80000</x:v>
      </x:c>
      <x:c r="AC61" s="63" t="n">
        <x:v>80000</x:v>
      </x:c>
      <x:c r="AD61" s="63" t="n">
        <x:v>80000</x:v>
      </x:c>
      <x:c r="AE61" s="63" t="n">
        <x:v>80000</x:v>
      </x:c>
      <x:c r="AF61" s="63" t="n">
        <x:v>80000</x:v>
      </x:c>
      <x:c r="AG61" s="63" t="n">
        <x:v>80000</x:v>
      </x:c>
      <x:c r="AH61" s="63" t="n">
        <x:v>80000</x:v>
      </x:c>
      <x:c r="AI61" s="63" t="n">
        <x:v>80000</x:v>
      </x:c>
      <x:c r="AJ61" s="63" t="n">
        <x:v>80000</x:v>
      </x:c>
      <x:c r="AK61" s="63" t="n">
        <x:v>80000</x:v>
      </x:c>
      <x:c r="AL61" s="63" t="n">
        <x:v>80000</x:v>
      </x:c>
    </x:row>
    <x:row r="62">
      <x:c r="A62" s="39" t="str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</x:row>
    <x:row r="63">
      <x:c r="A63" s="46" t="str">
        <x:v>Output Tokens / Workflow</x:v>
      </x:c>
      <x:c r="B63" s="46" t="str">
        <x:v>Selected | tokens</x:v>
      </x:c>
      <x:c r="C63" s="64" t="n">
        <x:f>IF($D$6="Downside",C64,IF($D$6="Base",C65,C66))</x:f>
        <x:v>20000</x:v>
      </x:c>
      <x:c r="D63" s="64" t="n">
        <x:f>IF($D$6="Downside",D64,IF($D$6="Base",D65,D66))</x:f>
        <x:v>20000</x:v>
      </x:c>
      <x:c r="E63" s="64" t="n">
        <x:f>IF($D$6="Downside",E64,IF($D$6="Base",E65,E66))</x:f>
        <x:v>20000</x:v>
      </x:c>
      <x:c r="F63" s="64" t="n">
        <x:f>IF($D$6="Downside",F64,IF($D$6="Base",F65,F66))</x:f>
        <x:v>20000</x:v>
      </x:c>
      <x:c r="G63" s="64" t="n">
        <x:f>IF($D$6="Downside",G64,IF($D$6="Base",G65,G66))</x:f>
        <x:v>20000</x:v>
      </x:c>
      <x:c r="H63" s="64" t="n">
        <x:f>IF($D$6="Downside",H64,IF($D$6="Base",H65,H66))</x:f>
        <x:v>20000</x:v>
      </x:c>
      <x:c r="I63" s="64" t="n">
        <x:f>IF($D$6="Downside",I64,IF($D$6="Base",I65,I66))</x:f>
        <x:v>20000</x:v>
      </x:c>
      <x:c r="J63" s="64" t="n">
        <x:f>IF($D$6="Downside",J64,IF($D$6="Base",J65,J66))</x:f>
        <x:v>20000</x:v>
      </x:c>
      <x:c r="K63" s="64" t="n">
        <x:f>IF($D$6="Downside",K64,IF($D$6="Base",K65,K66))</x:f>
        <x:v>20000</x:v>
      </x:c>
      <x:c r="L63" s="64" t="n">
        <x:f>IF($D$6="Downside",L64,IF($D$6="Base",L65,L66))</x:f>
        <x:v>20000</x:v>
      </x:c>
      <x:c r="M63" s="64" t="n">
        <x:f>IF($D$6="Downside",M64,IF($D$6="Base",M65,M66))</x:f>
        <x:v>20000</x:v>
      </x:c>
      <x:c r="N63" s="64" t="n">
        <x:f>IF($D$6="Downside",N64,IF($D$6="Base",N65,N66))</x:f>
        <x:v>20000</x:v>
      </x:c>
      <x:c r="O63" s="64" t="n">
        <x:f>IF($D$6="Downside",O64,IF($D$6="Base",O65,O66))</x:f>
        <x:v>20000</x:v>
      </x:c>
      <x:c r="P63" s="64" t="n">
        <x:f>IF($D$6="Downside",P64,IF($D$6="Base",P65,P66))</x:f>
        <x:v>20000</x:v>
      </x:c>
      <x:c r="Q63" s="64" t="n">
        <x:f>IF($D$6="Downside",Q64,IF($D$6="Base",Q65,Q66))</x:f>
        <x:v>20000</x:v>
      </x:c>
      <x:c r="R63" s="64" t="n">
        <x:f>IF($D$6="Downside",R64,IF($D$6="Base",R65,R66))</x:f>
        <x:v>20000</x:v>
      </x:c>
      <x:c r="S63" s="64" t="n">
        <x:f>IF($D$6="Downside",S64,IF($D$6="Base",S65,S66))</x:f>
        <x:v>20000</x:v>
      </x:c>
      <x:c r="T63" s="64" t="n">
        <x:f>IF($D$6="Downside",T64,IF($D$6="Base",T65,T66))</x:f>
        <x:v>20000</x:v>
      </x:c>
      <x:c r="U63" s="64" t="n">
        <x:f>IF($D$6="Downside",U64,IF($D$6="Base",U65,U66))</x:f>
        <x:v>20000</x:v>
      </x:c>
      <x:c r="V63" s="64" t="n">
        <x:f>IF($D$6="Downside",V64,IF($D$6="Base",V65,V66))</x:f>
        <x:v>20000</x:v>
      </x:c>
      <x:c r="W63" s="64" t="n">
        <x:f>IF($D$6="Downside",W64,IF($D$6="Base",W65,W66))</x:f>
        <x:v>20000</x:v>
      </x:c>
      <x:c r="X63" s="64" t="n">
        <x:f>IF($D$6="Downside",X64,IF($D$6="Base",X65,X66))</x:f>
        <x:v>20000</x:v>
      </x:c>
      <x:c r="Y63" s="64" t="n">
        <x:f>IF($D$6="Downside",Y64,IF($D$6="Base",Y65,Y66))</x:f>
        <x:v>20000</x:v>
      </x:c>
      <x:c r="Z63" s="64" t="n">
        <x:f>IF($D$6="Downside",Z64,IF($D$6="Base",Z65,Z66))</x:f>
        <x:v>20000</x:v>
      </x:c>
      <x:c r="AA63" s="64" t="n">
        <x:f>IF($D$6="Downside",AA64,IF($D$6="Base",AA65,AA66))</x:f>
        <x:v>20000</x:v>
      </x:c>
      <x:c r="AB63" s="64" t="n">
        <x:f>IF($D$6="Downside",AB64,IF($D$6="Base",AB65,AB66))</x:f>
        <x:v>20000</x:v>
      </x:c>
      <x:c r="AC63" s="64" t="n">
        <x:f>IF($D$6="Downside",AC64,IF($D$6="Base",AC65,AC66))</x:f>
        <x:v>20000</x:v>
      </x:c>
      <x:c r="AD63" s="64" t="n">
        <x:f>IF($D$6="Downside",AD64,IF($D$6="Base",AD65,AD66))</x:f>
        <x:v>20000</x:v>
      </x:c>
      <x:c r="AE63" s="64" t="n">
        <x:f>IF($D$6="Downside",AE64,IF($D$6="Base",AE65,AE66))</x:f>
        <x:v>20000</x:v>
      </x:c>
      <x:c r="AF63" s="64" t="n">
        <x:f>IF($D$6="Downside",AF64,IF($D$6="Base",AF65,AF66))</x:f>
        <x:v>20000</x:v>
      </x:c>
      <x:c r="AG63" s="64" t="n">
        <x:f>IF($D$6="Downside",AG64,IF($D$6="Base",AG65,AG66))</x:f>
        <x:v>20000</x:v>
      </x:c>
      <x:c r="AH63" s="64" t="n">
        <x:f>IF($D$6="Downside",AH64,IF($D$6="Base",AH65,AH66))</x:f>
        <x:v>20000</x:v>
      </x:c>
      <x:c r="AI63" s="64" t="n">
        <x:f>IF($D$6="Downside",AI64,IF($D$6="Base",AI65,AI66))</x:f>
        <x:v>20000</x:v>
      </x:c>
      <x:c r="AJ63" s="64" t="n">
        <x:f>IF($D$6="Downside",AJ64,IF($D$6="Base",AJ65,AJ66))</x:f>
        <x:v>20000</x:v>
      </x:c>
      <x:c r="AK63" s="64" t="n">
        <x:f>IF($D$6="Downside",AK64,IF($D$6="Base",AK65,AK66))</x:f>
        <x:v>20000</x:v>
      </x:c>
      <x:c r="AL63" s="64" t="n">
        <x:f>IF($D$6="Downside",AL64,IF($D$6="Base",AL65,AL66))</x:f>
        <x:v>20000</x:v>
      </x:c>
    </x:row>
    <x:row r="64">
      <x:c r="A64" s="47" t="str"/>
      <x:c r="B64" s="48" t="str">
        <x:v>Downside</x:v>
      </x:c>
      <x:c r="C64" s="63" t="n">
        <x:v>25000</x:v>
      </x:c>
      <x:c r="D64" s="63" t="n">
        <x:v>25000</x:v>
      </x:c>
      <x:c r="E64" s="63" t="n">
        <x:v>25000</x:v>
      </x:c>
      <x:c r="F64" s="63" t="n">
        <x:v>25000</x:v>
      </x:c>
      <x:c r="G64" s="63" t="n">
        <x:v>25000</x:v>
      </x:c>
      <x:c r="H64" s="63" t="n">
        <x:v>25000</x:v>
      </x:c>
      <x:c r="I64" s="63" t="n">
        <x:v>25000</x:v>
      </x:c>
      <x:c r="J64" s="63" t="n">
        <x:v>25000</x:v>
      </x:c>
      <x:c r="K64" s="63" t="n">
        <x:v>25000</x:v>
      </x:c>
      <x:c r="L64" s="63" t="n">
        <x:v>25000</x:v>
      </x:c>
      <x:c r="M64" s="63" t="n">
        <x:v>25000</x:v>
      </x:c>
      <x:c r="N64" s="63" t="n">
        <x:v>25000</x:v>
      </x:c>
      <x:c r="O64" s="63" t="n">
        <x:v>25000</x:v>
      </x:c>
      <x:c r="P64" s="63" t="n">
        <x:v>25000</x:v>
      </x:c>
      <x:c r="Q64" s="63" t="n">
        <x:v>25000</x:v>
      </x:c>
      <x:c r="R64" s="63" t="n">
        <x:v>25000</x:v>
      </x:c>
      <x:c r="S64" s="63" t="n">
        <x:v>25000</x:v>
      </x:c>
      <x:c r="T64" s="63" t="n">
        <x:v>25000</x:v>
      </x:c>
      <x:c r="U64" s="63" t="n">
        <x:v>25000</x:v>
      </x:c>
      <x:c r="V64" s="63" t="n">
        <x:v>25000</x:v>
      </x:c>
      <x:c r="W64" s="63" t="n">
        <x:v>25000</x:v>
      </x:c>
      <x:c r="X64" s="63" t="n">
        <x:v>25000</x:v>
      </x:c>
      <x:c r="Y64" s="63" t="n">
        <x:v>25000</x:v>
      </x:c>
      <x:c r="Z64" s="63" t="n">
        <x:v>25000</x:v>
      </x:c>
      <x:c r="AA64" s="63" t="n">
        <x:v>25000</x:v>
      </x:c>
      <x:c r="AB64" s="63" t="n">
        <x:v>25000</x:v>
      </x:c>
      <x:c r="AC64" s="63" t="n">
        <x:v>25000</x:v>
      </x:c>
      <x:c r="AD64" s="63" t="n">
        <x:v>25000</x:v>
      </x:c>
      <x:c r="AE64" s="63" t="n">
        <x:v>25000</x:v>
      </x:c>
      <x:c r="AF64" s="63" t="n">
        <x:v>25000</x:v>
      </x:c>
      <x:c r="AG64" s="63" t="n">
        <x:v>25000</x:v>
      </x:c>
      <x:c r="AH64" s="63" t="n">
        <x:v>25000</x:v>
      </x:c>
      <x:c r="AI64" s="63" t="n">
        <x:v>25000</x:v>
      </x:c>
      <x:c r="AJ64" s="63" t="n">
        <x:v>25000</x:v>
      </x:c>
      <x:c r="AK64" s="63" t="n">
        <x:v>25000</x:v>
      </x:c>
      <x:c r="AL64" s="63" t="n">
        <x:v>25000</x:v>
      </x:c>
    </x:row>
    <x:row r="65">
      <x:c r="A65" s="47" t="str"/>
      <x:c r="B65" s="48" t="str">
        <x:v>Base</x:v>
      </x:c>
      <x:c r="C65" s="63" t="n">
        <x:v>20000</x:v>
      </x:c>
      <x:c r="D65" s="63" t="n">
        <x:v>20000</x:v>
      </x:c>
      <x:c r="E65" s="63" t="n">
        <x:v>20000</x:v>
      </x:c>
      <x:c r="F65" s="63" t="n">
        <x:v>20000</x:v>
      </x:c>
      <x:c r="G65" s="63" t="n">
        <x:v>20000</x:v>
      </x:c>
      <x:c r="H65" s="63" t="n">
        <x:v>20000</x:v>
      </x:c>
      <x:c r="I65" s="63" t="n">
        <x:v>20000</x:v>
      </x:c>
      <x:c r="J65" s="63" t="n">
        <x:v>20000</x:v>
      </x:c>
      <x:c r="K65" s="63" t="n">
        <x:v>20000</x:v>
      </x:c>
      <x:c r="L65" s="63" t="n">
        <x:v>20000</x:v>
      </x:c>
      <x:c r="M65" s="63" t="n">
        <x:v>20000</x:v>
      </x:c>
      <x:c r="N65" s="63" t="n">
        <x:v>20000</x:v>
      </x:c>
      <x:c r="O65" s="63" t="n">
        <x:v>20000</x:v>
      </x:c>
      <x:c r="P65" s="63" t="n">
        <x:v>20000</x:v>
      </x:c>
      <x:c r="Q65" s="63" t="n">
        <x:v>20000</x:v>
      </x:c>
      <x:c r="R65" s="63" t="n">
        <x:v>20000</x:v>
      </x:c>
      <x:c r="S65" s="63" t="n">
        <x:v>20000</x:v>
      </x:c>
      <x:c r="T65" s="63" t="n">
        <x:v>20000</x:v>
      </x:c>
      <x:c r="U65" s="63" t="n">
        <x:v>20000</x:v>
      </x:c>
      <x:c r="V65" s="63" t="n">
        <x:v>20000</x:v>
      </x:c>
      <x:c r="W65" s="63" t="n">
        <x:v>20000</x:v>
      </x:c>
      <x:c r="X65" s="63" t="n">
        <x:v>20000</x:v>
      </x:c>
      <x:c r="Y65" s="63" t="n">
        <x:v>20000</x:v>
      </x:c>
      <x:c r="Z65" s="63" t="n">
        <x:v>20000</x:v>
      </x:c>
      <x:c r="AA65" s="63" t="n">
        <x:v>20000</x:v>
      </x:c>
      <x:c r="AB65" s="63" t="n">
        <x:v>20000</x:v>
      </x:c>
      <x:c r="AC65" s="63" t="n">
        <x:v>20000</x:v>
      </x:c>
      <x:c r="AD65" s="63" t="n">
        <x:v>20000</x:v>
      </x:c>
      <x:c r="AE65" s="63" t="n">
        <x:v>20000</x:v>
      </x:c>
      <x:c r="AF65" s="63" t="n">
        <x:v>20000</x:v>
      </x:c>
      <x:c r="AG65" s="63" t="n">
        <x:v>20000</x:v>
      </x:c>
      <x:c r="AH65" s="63" t="n">
        <x:v>20000</x:v>
      </x:c>
      <x:c r="AI65" s="63" t="n">
        <x:v>20000</x:v>
      </x:c>
      <x:c r="AJ65" s="63" t="n">
        <x:v>20000</x:v>
      </x:c>
      <x:c r="AK65" s="63" t="n">
        <x:v>20000</x:v>
      </x:c>
      <x:c r="AL65" s="63" t="n">
        <x:v>20000</x:v>
      </x:c>
    </x:row>
    <x:row r="66">
      <x:c r="A66" s="47" t="str"/>
      <x:c r="B66" s="48" t="str">
        <x:v>Upside</x:v>
      </x:c>
      <x:c r="C66" s="63" t="n">
        <x:v>15000</x:v>
      </x:c>
      <x:c r="D66" s="63" t="n">
        <x:v>15000</x:v>
      </x:c>
      <x:c r="E66" s="63" t="n">
        <x:v>15000</x:v>
      </x:c>
      <x:c r="F66" s="63" t="n">
        <x:v>15000</x:v>
      </x:c>
      <x:c r="G66" s="63" t="n">
        <x:v>15000</x:v>
      </x:c>
      <x:c r="H66" s="63" t="n">
        <x:v>15000</x:v>
      </x:c>
      <x:c r="I66" s="63" t="n">
        <x:v>15000</x:v>
      </x:c>
      <x:c r="J66" s="63" t="n">
        <x:v>15000</x:v>
      </x:c>
      <x:c r="K66" s="63" t="n">
        <x:v>15000</x:v>
      </x:c>
      <x:c r="L66" s="63" t="n">
        <x:v>15000</x:v>
      </x:c>
      <x:c r="M66" s="63" t="n">
        <x:v>15000</x:v>
      </x:c>
      <x:c r="N66" s="63" t="n">
        <x:v>15000</x:v>
      </x:c>
      <x:c r="O66" s="63" t="n">
        <x:v>15000</x:v>
      </x:c>
      <x:c r="P66" s="63" t="n">
        <x:v>15000</x:v>
      </x:c>
      <x:c r="Q66" s="63" t="n">
        <x:v>15000</x:v>
      </x:c>
      <x:c r="R66" s="63" t="n">
        <x:v>15000</x:v>
      </x:c>
      <x:c r="S66" s="63" t="n">
        <x:v>15000</x:v>
      </x:c>
      <x:c r="T66" s="63" t="n">
        <x:v>15000</x:v>
      </x:c>
      <x:c r="U66" s="63" t="n">
        <x:v>15000</x:v>
      </x:c>
      <x:c r="V66" s="63" t="n">
        <x:v>15000</x:v>
      </x:c>
      <x:c r="W66" s="63" t="n">
        <x:v>15000</x:v>
      </x:c>
      <x:c r="X66" s="63" t="n">
        <x:v>15000</x:v>
      </x:c>
      <x:c r="Y66" s="63" t="n">
        <x:v>15000</x:v>
      </x:c>
      <x:c r="Z66" s="63" t="n">
        <x:v>15000</x:v>
      </x:c>
      <x:c r="AA66" s="63" t="n">
        <x:v>15000</x:v>
      </x:c>
      <x:c r="AB66" s="63" t="n">
        <x:v>15000</x:v>
      </x:c>
      <x:c r="AC66" s="63" t="n">
        <x:v>15000</x:v>
      </x:c>
      <x:c r="AD66" s="63" t="n">
        <x:v>15000</x:v>
      </x:c>
      <x:c r="AE66" s="63" t="n">
        <x:v>15000</x:v>
      </x:c>
      <x:c r="AF66" s="63" t="n">
        <x:v>15000</x:v>
      </x:c>
      <x:c r="AG66" s="63" t="n">
        <x:v>15000</x:v>
      </x:c>
      <x:c r="AH66" s="63" t="n">
        <x:v>15000</x:v>
      </x:c>
      <x:c r="AI66" s="63" t="n">
        <x:v>15000</x:v>
      </x:c>
      <x:c r="AJ66" s="63" t="n">
        <x:v>15000</x:v>
      </x:c>
      <x:c r="AK66" s="63" t="n">
        <x:v>15000</x:v>
      </x:c>
      <x:c r="AL66" s="63" t="n">
        <x:v>15000</x:v>
      </x:c>
    </x:row>
    <x:row r="67">
      <x:c r="A67" s="39" t="str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</x:row>
    <x:row r="68">
      <x:c r="A68" s="46" t="str">
        <x:v>Human Review Cost / Workflow</x:v>
      </x:c>
      <x:c r="B68" s="46" t="str">
        <x:v>Selected | KRW</x:v>
      </x:c>
      <x:c r="C68" s="61" t="n">
        <x:f>IF($D$6="Downside",C69,IF($D$6="Base",C70,C71))</x:f>
        <x:v>35000</x:v>
      </x:c>
      <x:c r="D68" s="61" t="n">
        <x:f>IF($D$6="Downside",D69,IF($D$6="Base",D70,D71))</x:f>
        <x:v>35000</x:v>
      </x:c>
      <x:c r="E68" s="61" t="n">
        <x:f>IF($D$6="Downside",E69,IF($D$6="Base",E70,E71))</x:f>
        <x:v>35000</x:v>
      </x:c>
      <x:c r="F68" s="61" t="n">
        <x:f>IF($D$6="Downside",F69,IF($D$6="Base",F70,F71))</x:f>
        <x:v>35000</x:v>
      </x:c>
      <x:c r="G68" s="61" t="n">
        <x:f>IF($D$6="Downside",G69,IF($D$6="Base",G70,G71))</x:f>
        <x:v>35000</x:v>
      </x:c>
      <x:c r="H68" s="61" t="n">
        <x:f>IF($D$6="Downside",H69,IF($D$6="Base",H70,H71))</x:f>
        <x:v>35000</x:v>
      </x:c>
      <x:c r="I68" s="61" t="n">
        <x:f>IF($D$6="Downside",I69,IF($D$6="Base",I70,I71))</x:f>
        <x:v>35000</x:v>
      </x:c>
      <x:c r="J68" s="61" t="n">
        <x:f>IF($D$6="Downside",J69,IF($D$6="Base",J70,J71))</x:f>
        <x:v>35000</x:v>
      </x:c>
      <x:c r="K68" s="61" t="n">
        <x:f>IF($D$6="Downside",K69,IF($D$6="Base",K70,K71))</x:f>
        <x:v>35000</x:v>
      </x:c>
      <x:c r="L68" s="61" t="n">
        <x:f>IF($D$6="Downside",L69,IF($D$6="Base",L70,L71))</x:f>
        <x:v>35000</x:v>
      </x:c>
      <x:c r="M68" s="61" t="n">
        <x:f>IF($D$6="Downside",M69,IF($D$6="Base",M70,M71))</x:f>
        <x:v>35000</x:v>
      </x:c>
      <x:c r="N68" s="61" t="n">
        <x:f>IF($D$6="Downside",N69,IF($D$6="Base",N70,N71))</x:f>
        <x:v>35000</x:v>
      </x:c>
      <x:c r="O68" s="61" t="n">
        <x:f>IF($D$6="Downside",O69,IF($D$6="Base",O70,O71))</x:f>
        <x:v>35000</x:v>
      </x:c>
      <x:c r="P68" s="61" t="n">
        <x:f>IF($D$6="Downside",P69,IF($D$6="Base",P70,P71))</x:f>
        <x:v>35000</x:v>
      </x:c>
      <x:c r="Q68" s="61" t="n">
        <x:f>IF($D$6="Downside",Q69,IF($D$6="Base",Q70,Q71))</x:f>
        <x:v>35000</x:v>
      </x:c>
      <x:c r="R68" s="61" t="n">
        <x:f>IF($D$6="Downside",R69,IF($D$6="Base",R70,R71))</x:f>
        <x:v>35000</x:v>
      </x:c>
      <x:c r="S68" s="61" t="n">
        <x:f>IF($D$6="Downside",S69,IF($D$6="Base",S70,S71))</x:f>
        <x:v>35000</x:v>
      </x:c>
      <x:c r="T68" s="61" t="n">
        <x:f>IF($D$6="Downside",T69,IF($D$6="Base",T70,T71))</x:f>
        <x:v>35000</x:v>
      </x:c>
      <x:c r="U68" s="61" t="n">
        <x:f>IF($D$6="Downside",U69,IF($D$6="Base",U70,U71))</x:f>
        <x:v>35000</x:v>
      </x:c>
      <x:c r="V68" s="61" t="n">
        <x:f>IF($D$6="Downside",V69,IF($D$6="Base",V70,V71))</x:f>
        <x:v>35000</x:v>
      </x:c>
      <x:c r="W68" s="61" t="n">
        <x:f>IF($D$6="Downside",W69,IF($D$6="Base",W70,W71))</x:f>
        <x:v>35000</x:v>
      </x:c>
      <x:c r="X68" s="61" t="n">
        <x:f>IF($D$6="Downside",X69,IF($D$6="Base",X70,X71))</x:f>
        <x:v>35000</x:v>
      </x:c>
      <x:c r="Y68" s="61" t="n">
        <x:f>IF($D$6="Downside",Y69,IF($D$6="Base",Y70,Y71))</x:f>
        <x:v>35000</x:v>
      </x:c>
      <x:c r="Z68" s="61" t="n">
        <x:f>IF($D$6="Downside",Z69,IF($D$6="Base",Z70,Z71))</x:f>
        <x:v>35000</x:v>
      </x:c>
      <x:c r="AA68" s="61" t="n">
        <x:f>IF($D$6="Downside",AA69,IF($D$6="Base",AA70,AA71))</x:f>
        <x:v>35000</x:v>
      </x:c>
      <x:c r="AB68" s="61" t="n">
        <x:f>IF($D$6="Downside",AB69,IF($D$6="Base",AB70,AB71))</x:f>
        <x:v>35000</x:v>
      </x:c>
      <x:c r="AC68" s="61" t="n">
        <x:f>IF($D$6="Downside",AC69,IF($D$6="Base",AC70,AC71))</x:f>
        <x:v>35000</x:v>
      </x:c>
      <x:c r="AD68" s="61" t="n">
        <x:f>IF($D$6="Downside",AD69,IF($D$6="Base",AD70,AD71))</x:f>
        <x:v>35000</x:v>
      </x:c>
      <x:c r="AE68" s="61" t="n">
        <x:f>IF($D$6="Downside",AE69,IF($D$6="Base",AE70,AE71))</x:f>
        <x:v>35000</x:v>
      </x:c>
      <x:c r="AF68" s="61" t="n">
        <x:f>IF($D$6="Downside",AF69,IF($D$6="Base",AF70,AF71))</x:f>
        <x:v>35000</x:v>
      </x:c>
      <x:c r="AG68" s="61" t="n">
        <x:f>IF($D$6="Downside",AG69,IF($D$6="Base",AG70,AG71))</x:f>
        <x:v>35000</x:v>
      </x:c>
      <x:c r="AH68" s="61" t="n">
        <x:f>IF($D$6="Downside",AH69,IF($D$6="Base",AH70,AH71))</x:f>
        <x:v>35000</x:v>
      </x:c>
      <x:c r="AI68" s="61" t="n">
        <x:f>IF($D$6="Downside",AI69,IF($D$6="Base",AI70,AI71))</x:f>
        <x:v>35000</x:v>
      </x:c>
      <x:c r="AJ68" s="61" t="n">
        <x:f>IF($D$6="Downside",AJ69,IF($D$6="Base",AJ70,AJ71))</x:f>
        <x:v>35000</x:v>
      </x:c>
      <x:c r="AK68" s="61" t="n">
        <x:f>IF($D$6="Downside",AK69,IF($D$6="Base",AK70,AK71))</x:f>
        <x:v>35000</x:v>
      </x:c>
      <x:c r="AL68" s="61" t="n">
        <x:f>IF($D$6="Downside",AL69,IF($D$6="Base",AL70,AL71))</x:f>
        <x:v>35000</x:v>
      </x:c>
    </x:row>
    <x:row r="69">
      <x:c r="A69" s="47" t="str"/>
      <x:c r="B69" s="48" t="str">
        <x:v>Downside</x:v>
      </x:c>
      <x:c r="C69" s="60" t="n">
        <x:v>60000</x:v>
      </x:c>
      <x:c r="D69" s="60" t="n">
        <x:v>60000</x:v>
      </x:c>
      <x:c r="E69" s="60" t="n">
        <x:v>60000</x:v>
      </x:c>
      <x:c r="F69" s="60" t="n">
        <x:v>60000</x:v>
      </x:c>
      <x:c r="G69" s="60" t="n">
        <x:v>60000</x:v>
      </x:c>
      <x:c r="H69" s="60" t="n">
        <x:v>60000</x:v>
      </x:c>
      <x:c r="I69" s="60" t="n">
        <x:v>60000</x:v>
      </x:c>
      <x:c r="J69" s="60" t="n">
        <x:v>60000</x:v>
      </x:c>
      <x:c r="K69" s="60" t="n">
        <x:v>60000</x:v>
      </x:c>
      <x:c r="L69" s="60" t="n">
        <x:v>60000</x:v>
      </x:c>
      <x:c r="M69" s="60" t="n">
        <x:v>60000</x:v>
      </x:c>
      <x:c r="N69" s="60" t="n">
        <x:v>60000</x:v>
      </x:c>
      <x:c r="O69" s="60" t="n">
        <x:v>60000</x:v>
      </x:c>
      <x:c r="P69" s="60" t="n">
        <x:v>60000</x:v>
      </x:c>
      <x:c r="Q69" s="60" t="n">
        <x:v>60000</x:v>
      </x:c>
      <x:c r="R69" s="60" t="n">
        <x:v>60000</x:v>
      </x:c>
      <x:c r="S69" s="60" t="n">
        <x:v>60000</x:v>
      </x:c>
      <x:c r="T69" s="60" t="n">
        <x:v>60000</x:v>
      </x:c>
      <x:c r="U69" s="60" t="n">
        <x:v>60000</x:v>
      </x:c>
      <x:c r="V69" s="60" t="n">
        <x:v>60000</x:v>
      </x:c>
      <x:c r="W69" s="60" t="n">
        <x:v>60000</x:v>
      </x:c>
      <x:c r="X69" s="60" t="n">
        <x:v>60000</x:v>
      </x:c>
      <x:c r="Y69" s="60" t="n">
        <x:v>60000</x:v>
      </x:c>
      <x:c r="Z69" s="60" t="n">
        <x:v>60000</x:v>
      </x:c>
      <x:c r="AA69" s="60" t="n">
        <x:v>60000</x:v>
      </x:c>
      <x:c r="AB69" s="60" t="n">
        <x:v>60000</x:v>
      </x:c>
      <x:c r="AC69" s="60" t="n">
        <x:v>60000</x:v>
      </x:c>
      <x:c r="AD69" s="60" t="n">
        <x:v>60000</x:v>
      </x:c>
      <x:c r="AE69" s="60" t="n">
        <x:v>60000</x:v>
      </x:c>
      <x:c r="AF69" s="60" t="n">
        <x:v>60000</x:v>
      </x:c>
      <x:c r="AG69" s="60" t="n">
        <x:v>60000</x:v>
      </x:c>
      <x:c r="AH69" s="60" t="n">
        <x:v>60000</x:v>
      </x:c>
      <x:c r="AI69" s="60" t="n">
        <x:v>60000</x:v>
      </x:c>
      <x:c r="AJ69" s="60" t="n">
        <x:v>60000</x:v>
      </x:c>
      <x:c r="AK69" s="60" t="n">
        <x:v>60000</x:v>
      </x:c>
      <x:c r="AL69" s="60" t="n">
        <x:v>60000</x:v>
      </x:c>
    </x:row>
    <x:row r="70">
      <x:c r="A70" s="47" t="str"/>
      <x:c r="B70" s="48" t="str">
        <x:v>Base</x:v>
      </x:c>
      <x:c r="C70" s="60" t="n">
        <x:v>35000</x:v>
      </x:c>
      <x:c r="D70" s="60" t="n">
        <x:v>35000</x:v>
      </x:c>
      <x:c r="E70" s="60" t="n">
        <x:v>35000</x:v>
      </x:c>
      <x:c r="F70" s="60" t="n">
        <x:v>35000</x:v>
      </x:c>
      <x:c r="G70" s="60" t="n">
        <x:v>35000</x:v>
      </x:c>
      <x:c r="H70" s="60" t="n">
        <x:v>35000</x:v>
      </x:c>
      <x:c r="I70" s="60" t="n">
        <x:v>35000</x:v>
      </x:c>
      <x:c r="J70" s="60" t="n">
        <x:v>35000</x:v>
      </x:c>
      <x:c r="K70" s="60" t="n">
        <x:v>35000</x:v>
      </x:c>
      <x:c r="L70" s="60" t="n">
        <x:v>35000</x:v>
      </x:c>
      <x:c r="M70" s="60" t="n">
        <x:v>35000</x:v>
      </x:c>
      <x:c r="N70" s="60" t="n">
        <x:v>35000</x:v>
      </x:c>
      <x:c r="O70" s="60" t="n">
        <x:v>35000</x:v>
      </x:c>
      <x:c r="P70" s="60" t="n">
        <x:v>35000</x:v>
      </x:c>
      <x:c r="Q70" s="60" t="n">
        <x:v>35000</x:v>
      </x:c>
      <x:c r="R70" s="60" t="n">
        <x:v>35000</x:v>
      </x:c>
      <x:c r="S70" s="60" t="n">
        <x:v>35000</x:v>
      </x:c>
      <x:c r="T70" s="60" t="n">
        <x:v>35000</x:v>
      </x:c>
      <x:c r="U70" s="60" t="n">
        <x:v>35000</x:v>
      </x:c>
      <x:c r="V70" s="60" t="n">
        <x:v>35000</x:v>
      </x:c>
      <x:c r="W70" s="60" t="n">
        <x:v>35000</x:v>
      </x:c>
      <x:c r="X70" s="60" t="n">
        <x:v>35000</x:v>
      </x:c>
      <x:c r="Y70" s="60" t="n">
        <x:v>35000</x:v>
      </x:c>
      <x:c r="Z70" s="60" t="n">
        <x:v>35000</x:v>
      </x:c>
      <x:c r="AA70" s="60" t="n">
        <x:v>35000</x:v>
      </x:c>
      <x:c r="AB70" s="60" t="n">
        <x:v>35000</x:v>
      </x:c>
      <x:c r="AC70" s="60" t="n">
        <x:v>35000</x:v>
      </x:c>
      <x:c r="AD70" s="60" t="n">
        <x:v>35000</x:v>
      </x:c>
      <x:c r="AE70" s="60" t="n">
        <x:v>35000</x:v>
      </x:c>
      <x:c r="AF70" s="60" t="n">
        <x:v>35000</x:v>
      </x:c>
      <x:c r="AG70" s="60" t="n">
        <x:v>35000</x:v>
      </x:c>
      <x:c r="AH70" s="60" t="n">
        <x:v>35000</x:v>
      </x:c>
      <x:c r="AI70" s="60" t="n">
        <x:v>35000</x:v>
      </x:c>
      <x:c r="AJ70" s="60" t="n">
        <x:v>35000</x:v>
      </x:c>
      <x:c r="AK70" s="60" t="n">
        <x:v>35000</x:v>
      </x:c>
      <x:c r="AL70" s="60" t="n">
        <x:v>35000</x:v>
      </x:c>
    </x:row>
    <x:row r="71">
      <x:c r="A71" s="47" t="str"/>
      <x:c r="B71" s="48" t="str">
        <x:v>Upside</x:v>
      </x:c>
      <x:c r="C71" s="60" t="n">
        <x:v>20000</x:v>
      </x:c>
      <x:c r="D71" s="60" t="n">
        <x:v>20000</x:v>
      </x:c>
      <x:c r="E71" s="60" t="n">
        <x:v>20000</x:v>
      </x:c>
      <x:c r="F71" s="60" t="n">
        <x:v>20000</x:v>
      </x:c>
      <x:c r="G71" s="60" t="n">
        <x:v>20000</x:v>
      </x:c>
      <x:c r="H71" s="60" t="n">
        <x:v>20000</x:v>
      </x:c>
      <x:c r="I71" s="60" t="n">
        <x:v>20000</x:v>
      </x:c>
      <x:c r="J71" s="60" t="n">
        <x:v>20000</x:v>
      </x:c>
      <x:c r="K71" s="60" t="n">
        <x:v>20000</x:v>
      </x:c>
      <x:c r="L71" s="60" t="n">
        <x:v>20000</x:v>
      </x:c>
      <x:c r="M71" s="60" t="n">
        <x:v>20000</x:v>
      </x:c>
      <x:c r="N71" s="60" t="n">
        <x:v>20000</x:v>
      </x:c>
      <x:c r="O71" s="60" t="n">
        <x:v>20000</x:v>
      </x:c>
      <x:c r="P71" s="60" t="n">
        <x:v>20000</x:v>
      </x:c>
      <x:c r="Q71" s="60" t="n">
        <x:v>20000</x:v>
      </x:c>
      <x:c r="R71" s="60" t="n">
        <x:v>20000</x:v>
      </x:c>
      <x:c r="S71" s="60" t="n">
        <x:v>20000</x:v>
      </x:c>
      <x:c r="T71" s="60" t="n">
        <x:v>20000</x:v>
      </x:c>
      <x:c r="U71" s="60" t="n">
        <x:v>20000</x:v>
      </x:c>
      <x:c r="V71" s="60" t="n">
        <x:v>20000</x:v>
      </x:c>
      <x:c r="W71" s="60" t="n">
        <x:v>20000</x:v>
      </x:c>
      <x:c r="X71" s="60" t="n">
        <x:v>20000</x:v>
      </x:c>
      <x:c r="Y71" s="60" t="n">
        <x:v>20000</x:v>
      </x:c>
      <x:c r="Z71" s="60" t="n">
        <x:v>20000</x:v>
      </x:c>
      <x:c r="AA71" s="60" t="n">
        <x:v>20000</x:v>
      </x:c>
      <x:c r="AB71" s="60" t="n">
        <x:v>20000</x:v>
      </x:c>
      <x:c r="AC71" s="60" t="n">
        <x:v>20000</x:v>
      </x:c>
      <x:c r="AD71" s="60" t="n">
        <x:v>20000</x:v>
      </x:c>
      <x:c r="AE71" s="60" t="n">
        <x:v>20000</x:v>
      </x:c>
      <x:c r="AF71" s="60" t="n">
        <x:v>20000</x:v>
      </x:c>
      <x:c r="AG71" s="60" t="n">
        <x:v>20000</x:v>
      </x:c>
      <x:c r="AH71" s="60" t="n">
        <x:v>20000</x:v>
      </x:c>
      <x:c r="AI71" s="60" t="n">
        <x:v>20000</x:v>
      </x:c>
      <x:c r="AJ71" s="60" t="n">
        <x:v>20000</x:v>
      </x:c>
      <x:c r="AK71" s="60" t="n">
        <x:v>20000</x:v>
      </x:c>
      <x:c r="AL71" s="60" t="n">
        <x:v>20000</x:v>
      </x:c>
    </x:row>
    <x:row r="72">
      <x:c r="A72" s="39" t="str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</x:row>
    <x:row r="73">
      <x:c r="A73" s="46" t="str">
        <x:v>Data and Cloud Cost / Workflow</x:v>
      </x:c>
      <x:c r="B73" s="46" t="str">
        <x:v>Selected | KRW</x:v>
      </x:c>
      <x:c r="C73" s="61" t="n">
        <x:f>IF($D$6="Downside",C74,IF($D$6="Base",C75,C76))</x:f>
        <x:v>12000</x:v>
      </x:c>
      <x:c r="D73" s="61" t="n">
        <x:f>IF($D$6="Downside",D74,IF($D$6="Base",D75,D76))</x:f>
        <x:v>12000</x:v>
      </x:c>
      <x:c r="E73" s="61" t="n">
        <x:f>IF($D$6="Downside",E74,IF($D$6="Base",E75,E76))</x:f>
        <x:v>12000</x:v>
      </x:c>
      <x:c r="F73" s="61" t="n">
        <x:f>IF($D$6="Downside",F74,IF($D$6="Base",F75,F76))</x:f>
        <x:v>12000</x:v>
      </x:c>
      <x:c r="G73" s="61" t="n">
        <x:f>IF($D$6="Downside",G74,IF($D$6="Base",G75,G76))</x:f>
        <x:v>12000</x:v>
      </x:c>
      <x:c r="H73" s="61" t="n">
        <x:f>IF($D$6="Downside",H74,IF($D$6="Base",H75,H76))</x:f>
        <x:v>12000</x:v>
      </x:c>
      <x:c r="I73" s="61" t="n">
        <x:f>IF($D$6="Downside",I74,IF($D$6="Base",I75,I76))</x:f>
        <x:v>12000</x:v>
      </x:c>
      <x:c r="J73" s="61" t="n">
        <x:f>IF($D$6="Downside",J74,IF($D$6="Base",J75,J76))</x:f>
        <x:v>12000</x:v>
      </x:c>
      <x:c r="K73" s="61" t="n">
        <x:f>IF($D$6="Downside",K74,IF($D$6="Base",K75,K76))</x:f>
        <x:v>12000</x:v>
      </x:c>
      <x:c r="L73" s="61" t="n">
        <x:f>IF($D$6="Downside",L74,IF($D$6="Base",L75,L76))</x:f>
        <x:v>12000</x:v>
      </x:c>
      <x:c r="M73" s="61" t="n">
        <x:f>IF($D$6="Downside",M74,IF($D$6="Base",M75,M76))</x:f>
        <x:v>12000</x:v>
      </x:c>
      <x:c r="N73" s="61" t="n">
        <x:f>IF($D$6="Downside",N74,IF($D$6="Base",N75,N76))</x:f>
        <x:v>12000</x:v>
      </x:c>
      <x:c r="O73" s="61" t="n">
        <x:f>IF($D$6="Downside",O74,IF($D$6="Base",O75,O76))</x:f>
        <x:v>12000</x:v>
      </x:c>
      <x:c r="P73" s="61" t="n">
        <x:f>IF($D$6="Downside",P74,IF($D$6="Base",P75,P76))</x:f>
        <x:v>12000</x:v>
      </x:c>
      <x:c r="Q73" s="61" t="n">
        <x:f>IF($D$6="Downside",Q74,IF($D$6="Base",Q75,Q76))</x:f>
        <x:v>12000</x:v>
      </x:c>
      <x:c r="R73" s="61" t="n">
        <x:f>IF($D$6="Downside",R74,IF($D$6="Base",R75,R76))</x:f>
        <x:v>12000</x:v>
      </x:c>
      <x:c r="S73" s="61" t="n">
        <x:f>IF($D$6="Downside",S74,IF($D$6="Base",S75,S76))</x:f>
        <x:v>12000</x:v>
      </x:c>
      <x:c r="T73" s="61" t="n">
        <x:f>IF($D$6="Downside",T74,IF($D$6="Base",T75,T76))</x:f>
        <x:v>12000</x:v>
      </x:c>
      <x:c r="U73" s="61" t="n">
        <x:f>IF($D$6="Downside",U74,IF($D$6="Base",U75,U76))</x:f>
        <x:v>12000</x:v>
      </x:c>
      <x:c r="V73" s="61" t="n">
        <x:f>IF($D$6="Downside",V74,IF($D$6="Base",V75,V76))</x:f>
        <x:v>12000</x:v>
      </x:c>
      <x:c r="W73" s="61" t="n">
        <x:f>IF($D$6="Downside",W74,IF($D$6="Base",W75,W76))</x:f>
        <x:v>12000</x:v>
      </x:c>
      <x:c r="X73" s="61" t="n">
        <x:f>IF($D$6="Downside",X74,IF($D$6="Base",X75,X76))</x:f>
        <x:v>12000</x:v>
      </x:c>
      <x:c r="Y73" s="61" t="n">
        <x:f>IF($D$6="Downside",Y74,IF($D$6="Base",Y75,Y76))</x:f>
        <x:v>12000</x:v>
      </x:c>
      <x:c r="Z73" s="61" t="n">
        <x:f>IF($D$6="Downside",Z74,IF($D$6="Base",Z75,Z76))</x:f>
        <x:v>12000</x:v>
      </x:c>
      <x:c r="AA73" s="61" t="n">
        <x:f>IF($D$6="Downside",AA74,IF($D$6="Base",AA75,AA76))</x:f>
        <x:v>12000</x:v>
      </x:c>
      <x:c r="AB73" s="61" t="n">
        <x:f>IF($D$6="Downside",AB74,IF($D$6="Base",AB75,AB76))</x:f>
        <x:v>12000</x:v>
      </x:c>
      <x:c r="AC73" s="61" t="n">
        <x:f>IF($D$6="Downside",AC74,IF($D$6="Base",AC75,AC76))</x:f>
        <x:v>12000</x:v>
      </x:c>
      <x:c r="AD73" s="61" t="n">
        <x:f>IF($D$6="Downside",AD74,IF($D$6="Base",AD75,AD76))</x:f>
        <x:v>12000</x:v>
      </x:c>
      <x:c r="AE73" s="61" t="n">
        <x:f>IF($D$6="Downside",AE74,IF($D$6="Base",AE75,AE76))</x:f>
        <x:v>12000</x:v>
      </x:c>
      <x:c r="AF73" s="61" t="n">
        <x:f>IF($D$6="Downside",AF74,IF($D$6="Base",AF75,AF76))</x:f>
        <x:v>12000</x:v>
      </x:c>
      <x:c r="AG73" s="61" t="n">
        <x:f>IF($D$6="Downside",AG74,IF($D$6="Base",AG75,AG76))</x:f>
        <x:v>12000</x:v>
      </x:c>
      <x:c r="AH73" s="61" t="n">
        <x:f>IF($D$6="Downside",AH74,IF($D$6="Base",AH75,AH76))</x:f>
        <x:v>12000</x:v>
      </x:c>
      <x:c r="AI73" s="61" t="n">
        <x:f>IF($D$6="Downside",AI74,IF($D$6="Base",AI75,AI76))</x:f>
        <x:v>12000</x:v>
      </x:c>
      <x:c r="AJ73" s="61" t="n">
        <x:f>IF($D$6="Downside",AJ74,IF($D$6="Base",AJ75,AJ76))</x:f>
        <x:v>12000</x:v>
      </x:c>
      <x:c r="AK73" s="61" t="n">
        <x:f>IF($D$6="Downside",AK74,IF($D$6="Base",AK75,AK76))</x:f>
        <x:v>12000</x:v>
      </x:c>
      <x:c r="AL73" s="61" t="n">
        <x:f>IF($D$6="Downside",AL74,IF($D$6="Base",AL75,AL76))</x:f>
        <x:v>12000</x:v>
      </x:c>
    </x:row>
    <x:row r="74">
      <x:c r="A74" s="47" t="str"/>
      <x:c r="B74" s="48" t="str">
        <x:v>Downside</x:v>
      </x:c>
      <x:c r="C74" s="60" t="n">
        <x:v>20000</x:v>
      </x:c>
      <x:c r="D74" s="60" t="n">
        <x:v>20000</x:v>
      </x:c>
      <x:c r="E74" s="60" t="n">
        <x:v>20000</x:v>
      </x:c>
      <x:c r="F74" s="60" t="n">
        <x:v>20000</x:v>
      </x:c>
      <x:c r="G74" s="60" t="n">
        <x:v>20000</x:v>
      </x:c>
      <x:c r="H74" s="60" t="n">
        <x:v>20000</x:v>
      </x:c>
      <x:c r="I74" s="60" t="n">
        <x:v>20000</x:v>
      </x:c>
      <x:c r="J74" s="60" t="n">
        <x:v>20000</x:v>
      </x:c>
      <x:c r="K74" s="60" t="n">
        <x:v>20000</x:v>
      </x:c>
      <x:c r="L74" s="60" t="n">
        <x:v>20000</x:v>
      </x:c>
      <x:c r="M74" s="60" t="n">
        <x:v>20000</x:v>
      </x:c>
      <x:c r="N74" s="60" t="n">
        <x:v>20000</x:v>
      </x:c>
      <x:c r="O74" s="60" t="n">
        <x:v>20000</x:v>
      </x:c>
      <x:c r="P74" s="60" t="n">
        <x:v>20000</x:v>
      </x:c>
      <x:c r="Q74" s="60" t="n">
        <x:v>20000</x:v>
      </x:c>
      <x:c r="R74" s="60" t="n">
        <x:v>20000</x:v>
      </x:c>
      <x:c r="S74" s="60" t="n">
        <x:v>20000</x:v>
      </x:c>
      <x:c r="T74" s="60" t="n">
        <x:v>20000</x:v>
      </x:c>
      <x:c r="U74" s="60" t="n">
        <x:v>20000</x:v>
      </x:c>
      <x:c r="V74" s="60" t="n">
        <x:v>20000</x:v>
      </x:c>
      <x:c r="W74" s="60" t="n">
        <x:v>20000</x:v>
      </x:c>
      <x:c r="X74" s="60" t="n">
        <x:v>20000</x:v>
      </x:c>
      <x:c r="Y74" s="60" t="n">
        <x:v>20000</x:v>
      </x:c>
      <x:c r="Z74" s="60" t="n">
        <x:v>20000</x:v>
      </x:c>
      <x:c r="AA74" s="60" t="n">
        <x:v>20000</x:v>
      </x:c>
      <x:c r="AB74" s="60" t="n">
        <x:v>20000</x:v>
      </x:c>
      <x:c r="AC74" s="60" t="n">
        <x:v>20000</x:v>
      </x:c>
      <x:c r="AD74" s="60" t="n">
        <x:v>20000</x:v>
      </x:c>
      <x:c r="AE74" s="60" t="n">
        <x:v>20000</x:v>
      </x:c>
      <x:c r="AF74" s="60" t="n">
        <x:v>20000</x:v>
      </x:c>
      <x:c r="AG74" s="60" t="n">
        <x:v>20000</x:v>
      </x:c>
      <x:c r="AH74" s="60" t="n">
        <x:v>20000</x:v>
      </x:c>
      <x:c r="AI74" s="60" t="n">
        <x:v>20000</x:v>
      </x:c>
      <x:c r="AJ74" s="60" t="n">
        <x:v>20000</x:v>
      </x:c>
      <x:c r="AK74" s="60" t="n">
        <x:v>20000</x:v>
      </x:c>
      <x:c r="AL74" s="60" t="n">
        <x:v>20000</x:v>
      </x:c>
    </x:row>
    <x:row r="75">
      <x:c r="A75" s="47" t="str"/>
      <x:c r="B75" s="48" t="str">
        <x:v>Base</x:v>
      </x:c>
      <x:c r="C75" s="60" t="n">
        <x:v>12000</x:v>
      </x:c>
      <x:c r="D75" s="60" t="n">
        <x:v>12000</x:v>
      </x:c>
      <x:c r="E75" s="60" t="n">
        <x:v>12000</x:v>
      </x:c>
      <x:c r="F75" s="60" t="n">
        <x:v>12000</x:v>
      </x:c>
      <x:c r="G75" s="60" t="n">
        <x:v>12000</x:v>
      </x:c>
      <x:c r="H75" s="60" t="n">
        <x:v>12000</x:v>
      </x:c>
      <x:c r="I75" s="60" t="n">
        <x:v>12000</x:v>
      </x:c>
      <x:c r="J75" s="60" t="n">
        <x:v>12000</x:v>
      </x:c>
      <x:c r="K75" s="60" t="n">
        <x:v>12000</x:v>
      </x:c>
      <x:c r="L75" s="60" t="n">
        <x:v>12000</x:v>
      </x:c>
      <x:c r="M75" s="60" t="n">
        <x:v>12000</x:v>
      </x:c>
      <x:c r="N75" s="60" t="n">
        <x:v>12000</x:v>
      </x:c>
      <x:c r="O75" s="60" t="n">
        <x:v>12000</x:v>
      </x:c>
      <x:c r="P75" s="60" t="n">
        <x:v>12000</x:v>
      </x:c>
      <x:c r="Q75" s="60" t="n">
        <x:v>12000</x:v>
      </x:c>
      <x:c r="R75" s="60" t="n">
        <x:v>12000</x:v>
      </x:c>
      <x:c r="S75" s="60" t="n">
        <x:v>12000</x:v>
      </x:c>
      <x:c r="T75" s="60" t="n">
        <x:v>12000</x:v>
      </x:c>
      <x:c r="U75" s="60" t="n">
        <x:v>12000</x:v>
      </x:c>
      <x:c r="V75" s="60" t="n">
        <x:v>12000</x:v>
      </x:c>
      <x:c r="W75" s="60" t="n">
        <x:v>12000</x:v>
      </x:c>
      <x:c r="X75" s="60" t="n">
        <x:v>12000</x:v>
      </x:c>
      <x:c r="Y75" s="60" t="n">
        <x:v>12000</x:v>
      </x:c>
      <x:c r="Z75" s="60" t="n">
        <x:v>12000</x:v>
      </x:c>
      <x:c r="AA75" s="60" t="n">
        <x:v>12000</x:v>
      </x:c>
      <x:c r="AB75" s="60" t="n">
        <x:v>12000</x:v>
      </x:c>
      <x:c r="AC75" s="60" t="n">
        <x:v>12000</x:v>
      </x:c>
      <x:c r="AD75" s="60" t="n">
        <x:v>12000</x:v>
      </x:c>
      <x:c r="AE75" s="60" t="n">
        <x:v>12000</x:v>
      </x:c>
      <x:c r="AF75" s="60" t="n">
        <x:v>12000</x:v>
      </x:c>
      <x:c r="AG75" s="60" t="n">
        <x:v>12000</x:v>
      </x:c>
      <x:c r="AH75" s="60" t="n">
        <x:v>12000</x:v>
      </x:c>
      <x:c r="AI75" s="60" t="n">
        <x:v>12000</x:v>
      </x:c>
      <x:c r="AJ75" s="60" t="n">
        <x:v>12000</x:v>
      </x:c>
      <x:c r="AK75" s="60" t="n">
        <x:v>12000</x:v>
      </x:c>
      <x:c r="AL75" s="60" t="n">
        <x:v>12000</x:v>
      </x:c>
    </x:row>
    <x:row r="76">
      <x:c r="A76" s="47" t="str"/>
      <x:c r="B76" s="48" t="str">
        <x:v>Upside</x:v>
      </x:c>
      <x:c r="C76" s="60" t="n">
        <x:v>8000</x:v>
      </x:c>
      <x:c r="D76" s="60" t="n">
        <x:v>8000</x:v>
      </x:c>
      <x:c r="E76" s="60" t="n">
        <x:v>8000</x:v>
      </x:c>
      <x:c r="F76" s="60" t="n">
        <x:v>8000</x:v>
      </x:c>
      <x:c r="G76" s="60" t="n">
        <x:v>8000</x:v>
      </x:c>
      <x:c r="H76" s="60" t="n">
        <x:v>8000</x:v>
      </x:c>
      <x:c r="I76" s="60" t="n">
        <x:v>8000</x:v>
      </x:c>
      <x:c r="J76" s="60" t="n">
        <x:v>8000</x:v>
      </x:c>
      <x:c r="K76" s="60" t="n">
        <x:v>8000</x:v>
      </x:c>
      <x:c r="L76" s="60" t="n">
        <x:v>8000</x:v>
      </x:c>
      <x:c r="M76" s="60" t="n">
        <x:v>8000</x:v>
      </x:c>
      <x:c r="N76" s="60" t="n">
        <x:v>8000</x:v>
      </x:c>
      <x:c r="O76" s="60" t="n">
        <x:v>8000</x:v>
      </x:c>
      <x:c r="P76" s="60" t="n">
        <x:v>8000</x:v>
      </x:c>
      <x:c r="Q76" s="60" t="n">
        <x:v>8000</x:v>
      </x:c>
      <x:c r="R76" s="60" t="n">
        <x:v>8000</x:v>
      </x:c>
      <x:c r="S76" s="60" t="n">
        <x:v>8000</x:v>
      </x:c>
      <x:c r="T76" s="60" t="n">
        <x:v>8000</x:v>
      </x:c>
      <x:c r="U76" s="60" t="n">
        <x:v>8000</x:v>
      </x:c>
      <x:c r="V76" s="60" t="n">
        <x:v>8000</x:v>
      </x:c>
      <x:c r="W76" s="60" t="n">
        <x:v>8000</x:v>
      </x:c>
      <x:c r="X76" s="60" t="n">
        <x:v>8000</x:v>
      </x:c>
      <x:c r="Y76" s="60" t="n">
        <x:v>8000</x:v>
      </x:c>
      <x:c r="Z76" s="60" t="n">
        <x:v>8000</x:v>
      </x:c>
      <x:c r="AA76" s="60" t="n">
        <x:v>8000</x:v>
      </x:c>
      <x:c r="AB76" s="60" t="n">
        <x:v>8000</x:v>
      </x:c>
      <x:c r="AC76" s="60" t="n">
        <x:v>8000</x:v>
      </x:c>
      <x:c r="AD76" s="60" t="n">
        <x:v>8000</x:v>
      </x:c>
      <x:c r="AE76" s="60" t="n">
        <x:v>8000</x:v>
      </x:c>
      <x:c r="AF76" s="60" t="n">
        <x:v>8000</x:v>
      </x:c>
      <x:c r="AG76" s="60" t="n">
        <x:v>8000</x:v>
      </x:c>
      <x:c r="AH76" s="60" t="n">
        <x:v>8000</x:v>
      </x:c>
      <x:c r="AI76" s="60" t="n">
        <x:v>8000</x:v>
      </x:c>
      <x:c r="AJ76" s="60" t="n">
        <x:v>8000</x:v>
      </x:c>
      <x:c r="AK76" s="60" t="n">
        <x:v>8000</x:v>
      </x:c>
      <x:c r="AL76" s="60" t="n">
        <x:v>8000</x:v>
      </x:c>
    </x:row>
    <x:row r="77">
      <x:c r="A77" s="39" t="str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</x:row>
    <x:row r="78">
      <x:c r="A78" s="46" t="str">
        <x:v>Fixed Opex / Month</x:v>
      </x:c>
      <x:c r="B78" s="46" t="str">
        <x:v>Selected | KRW</x:v>
      </x:c>
      <x:c r="C78" s="61" t="n">
        <x:f>IF($D$6="Downside",C79,IF($D$6="Base",C80,C81))</x:f>
        <x:v>90000000</x:v>
      </x:c>
      <x:c r="D78" s="61" t="n">
        <x:f>IF($D$6="Downside",D79,IF($D$6="Base",D80,D81))</x:f>
        <x:v>90000000</x:v>
      </x:c>
      <x:c r="E78" s="61" t="n">
        <x:f>IF($D$6="Downside",E79,IF($D$6="Base",E80,E81))</x:f>
        <x:v>90000000</x:v>
      </x:c>
      <x:c r="F78" s="61" t="n">
        <x:f>IF($D$6="Downside",F79,IF($D$6="Base",F80,F81))</x:f>
        <x:v>90000000</x:v>
      </x:c>
      <x:c r="G78" s="61" t="n">
        <x:f>IF($D$6="Downside",G79,IF($D$6="Base",G80,G81))</x:f>
        <x:v>90000000</x:v>
      </x:c>
      <x:c r="H78" s="61" t="n">
        <x:f>IF($D$6="Downside",H79,IF($D$6="Base",H80,H81))</x:f>
        <x:v>90000000</x:v>
      </x:c>
      <x:c r="I78" s="61" t="n">
        <x:f>IF($D$6="Downside",I79,IF($D$6="Base",I80,I81))</x:f>
        <x:v>90000000</x:v>
      </x:c>
      <x:c r="J78" s="61" t="n">
        <x:f>IF($D$6="Downside",J79,IF($D$6="Base",J80,J81))</x:f>
        <x:v>90000000</x:v>
      </x:c>
      <x:c r="K78" s="61" t="n">
        <x:f>IF($D$6="Downside",K79,IF($D$6="Base",K80,K81))</x:f>
        <x:v>90000000</x:v>
      </x:c>
      <x:c r="L78" s="61" t="n">
        <x:f>IF($D$6="Downside",L79,IF($D$6="Base",L80,L81))</x:f>
        <x:v>90000000</x:v>
      </x:c>
      <x:c r="M78" s="61" t="n">
        <x:f>IF($D$6="Downside",M79,IF($D$6="Base",M80,M81))</x:f>
        <x:v>90000000</x:v>
      </x:c>
      <x:c r="N78" s="61" t="n">
        <x:f>IF($D$6="Downside",N79,IF($D$6="Base",N80,N81))</x:f>
        <x:v>90000000</x:v>
      </x:c>
      <x:c r="O78" s="61" t="n">
        <x:f>IF($D$6="Downside",O79,IF($D$6="Base",O80,O81))</x:f>
        <x:v>90000000</x:v>
      </x:c>
      <x:c r="P78" s="61" t="n">
        <x:f>IF($D$6="Downside",P79,IF($D$6="Base",P80,P81))</x:f>
        <x:v>90000000</x:v>
      </x:c>
      <x:c r="Q78" s="61" t="n">
        <x:f>IF($D$6="Downside",Q79,IF($D$6="Base",Q80,Q81))</x:f>
        <x:v>90000000</x:v>
      </x:c>
      <x:c r="R78" s="61" t="n">
        <x:f>IF($D$6="Downside",R79,IF($D$6="Base",R80,R81))</x:f>
        <x:v>90000000</x:v>
      </x:c>
      <x:c r="S78" s="61" t="n">
        <x:f>IF($D$6="Downside",S79,IF($D$6="Base",S80,S81))</x:f>
        <x:v>90000000</x:v>
      </x:c>
      <x:c r="T78" s="61" t="n">
        <x:f>IF($D$6="Downside",T79,IF($D$6="Base",T80,T81))</x:f>
        <x:v>90000000</x:v>
      </x:c>
      <x:c r="U78" s="61" t="n">
        <x:f>IF($D$6="Downside",U79,IF($D$6="Base",U80,U81))</x:f>
        <x:v>90000000</x:v>
      </x:c>
      <x:c r="V78" s="61" t="n">
        <x:f>IF($D$6="Downside",V79,IF($D$6="Base",V80,V81))</x:f>
        <x:v>90000000</x:v>
      </x:c>
      <x:c r="W78" s="61" t="n">
        <x:f>IF($D$6="Downside",W79,IF($D$6="Base",W80,W81))</x:f>
        <x:v>90000000</x:v>
      </x:c>
      <x:c r="X78" s="61" t="n">
        <x:f>IF($D$6="Downside",X79,IF($D$6="Base",X80,X81))</x:f>
        <x:v>90000000</x:v>
      </x:c>
      <x:c r="Y78" s="61" t="n">
        <x:f>IF($D$6="Downside",Y79,IF($D$6="Base",Y80,Y81))</x:f>
        <x:v>90000000</x:v>
      </x:c>
      <x:c r="Z78" s="61" t="n">
        <x:f>IF($D$6="Downside",Z79,IF($D$6="Base",Z80,Z81))</x:f>
        <x:v>90000000</x:v>
      </x:c>
      <x:c r="AA78" s="61" t="n">
        <x:f>IF($D$6="Downside",AA79,IF($D$6="Base",AA80,AA81))</x:f>
        <x:v>90000000</x:v>
      </x:c>
      <x:c r="AB78" s="61" t="n">
        <x:f>IF($D$6="Downside",AB79,IF($D$6="Base",AB80,AB81))</x:f>
        <x:v>90000000</x:v>
      </x:c>
      <x:c r="AC78" s="61" t="n">
        <x:f>IF($D$6="Downside",AC79,IF($D$6="Base",AC80,AC81))</x:f>
        <x:v>90000000</x:v>
      </x:c>
      <x:c r="AD78" s="61" t="n">
        <x:f>IF($D$6="Downside",AD79,IF($D$6="Base",AD80,AD81))</x:f>
        <x:v>90000000</x:v>
      </x:c>
      <x:c r="AE78" s="61" t="n">
        <x:f>IF($D$6="Downside",AE79,IF($D$6="Base",AE80,AE81))</x:f>
        <x:v>90000000</x:v>
      </x:c>
      <x:c r="AF78" s="61" t="n">
        <x:f>IF($D$6="Downside",AF79,IF($D$6="Base",AF80,AF81))</x:f>
        <x:v>90000000</x:v>
      </x:c>
      <x:c r="AG78" s="61" t="n">
        <x:f>IF($D$6="Downside",AG79,IF($D$6="Base",AG80,AG81))</x:f>
        <x:v>90000000</x:v>
      </x:c>
      <x:c r="AH78" s="61" t="n">
        <x:f>IF($D$6="Downside",AH79,IF($D$6="Base",AH80,AH81))</x:f>
        <x:v>90000000</x:v>
      </x:c>
      <x:c r="AI78" s="61" t="n">
        <x:f>IF($D$6="Downside",AI79,IF($D$6="Base",AI80,AI81))</x:f>
        <x:v>90000000</x:v>
      </x:c>
      <x:c r="AJ78" s="61" t="n">
        <x:f>IF($D$6="Downside",AJ79,IF($D$6="Base",AJ80,AJ81))</x:f>
        <x:v>90000000</x:v>
      </x:c>
      <x:c r="AK78" s="61" t="n">
        <x:f>IF($D$6="Downside",AK79,IF($D$6="Base",AK80,AK81))</x:f>
        <x:v>90000000</x:v>
      </x:c>
      <x:c r="AL78" s="61" t="n">
        <x:f>IF($D$6="Downside",AL79,IF($D$6="Base",AL80,AL81))</x:f>
        <x:v>90000000</x:v>
      </x:c>
    </x:row>
    <x:row r="79">
      <x:c r="A79" s="47" t="str"/>
      <x:c r="B79" s="48" t="str">
        <x:v>Downside</x:v>
      </x:c>
      <x:c r="C79" s="60" t="n">
        <x:v>85000000</x:v>
      </x:c>
      <x:c r="D79" s="60" t="n">
        <x:v>85000000</x:v>
      </x:c>
      <x:c r="E79" s="60" t="n">
        <x:v>85000000</x:v>
      </x:c>
      <x:c r="F79" s="60" t="n">
        <x:v>85000000</x:v>
      </x:c>
      <x:c r="G79" s="60" t="n">
        <x:v>85000000</x:v>
      </x:c>
      <x:c r="H79" s="60" t="n">
        <x:v>85000000</x:v>
      </x:c>
      <x:c r="I79" s="60" t="n">
        <x:v>85000000</x:v>
      </x:c>
      <x:c r="J79" s="60" t="n">
        <x:v>85000000</x:v>
      </x:c>
      <x:c r="K79" s="60" t="n">
        <x:v>85000000</x:v>
      </x:c>
      <x:c r="L79" s="60" t="n">
        <x:v>85000000</x:v>
      </x:c>
      <x:c r="M79" s="60" t="n">
        <x:v>85000000</x:v>
      </x:c>
      <x:c r="N79" s="60" t="n">
        <x:v>85000000</x:v>
      </x:c>
      <x:c r="O79" s="60" t="n">
        <x:v>85000000</x:v>
      </x:c>
      <x:c r="P79" s="60" t="n">
        <x:v>85000000</x:v>
      </x:c>
      <x:c r="Q79" s="60" t="n">
        <x:v>85000000</x:v>
      </x:c>
      <x:c r="R79" s="60" t="n">
        <x:v>85000000</x:v>
      </x:c>
      <x:c r="S79" s="60" t="n">
        <x:v>85000000</x:v>
      </x:c>
      <x:c r="T79" s="60" t="n">
        <x:v>85000000</x:v>
      </x:c>
      <x:c r="U79" s="60" t="n">
        <x:v>85000000</x:v>
      </x:c>
      <x:c r="V79" s="60" t="n">
        <x:v>85000000</x:v>
      </x:c>
      <x:c r="W79" s="60" t="n">
        <x:v>85000000</x:v>
      </x:c>
      <x:c r="X79" s="60" t="n">
        <x:v>85000000</x:v>
      </x:c>
      <x:c r="Y79" s="60" t="n">
        <x:v>85000000</x:v>
      </x:c>
      <x:c r="Z79" s="60" t="n">
        <x:v>85000000</x:v>
      </x:c>
      <x:c r="AA79" s="60" t="n">
        <x:v>85000000</x:v>
      </x:c>
      <x:c r="AB79" s="60" t="n">
        <x:v>85000000</x:v>
      </x:c>
      <x:c r="AC79" s="60" t="n">
        <x:v>85000000</x:v>
      </x:c>
      <x:c r="AD79" s="60" t="n">
        <x:v>85000000</x:v>
      </x:c>
      <x:c r="AE79" s="60" t="n">
        <x:v>85000000</x:v>
      </x:c>
      <x:c r="AF79" s="60" t="n">
        <x:v>85000000</x:v>
      </x:c>
      <x:c r="AG79" s="60" t="n">
        <x:v>85000000</x:v>
      </x:c>
      <x:c r="AH79" s="60" t="n">
        <x:v>85000000</x:v>
      </x:c>
      <x:c r="AI79" s="60" t="n">
        <x:v>85000000</x:v>
      </x:c>
      <x:c r="AJ79" s="60" t="n">
        <x:v>85000000</x:v>
      </x:c>
      <x:c r="AK79" s="60" t="n">
        <x:v>85000000</x:v>
      </x:c>
      <x:c r="AL79" s="60" t="n">
        <x:v>85000000</x:v>
      </x:c>
    </x:row>
    <x:row r="80">
      <x:c r="A80" s="47" t="str"/>
      <x:c r="B80" s="48" t="str">
        <x:v>Base</x:v>
      </x:c>
      <x:c r="C80" s="60" t="n">
        <x:v>90000000</x:v>
      </x:c>
      <x:c r="D80" s="60" t="n">
        <x:v>90000000</x:v>
      </x:c>
      <x:c r="E80" s="60" t="n">
        <x:v>90000000</x:v>
      </x:c>
      <x:c r="F80" s="60" t="n">
        <x:v>90000000</x:v>
      </x:c>
      <x:c r="G80" s="60" t="n">
        <x:v>90000000</x:v>
      </x:c>
      <x:c r="H80" s="60" t="n">
        <x:v>90000000</x:v>
      </x:c>
      <x:c r="I80" s="60" t="n">
        <x:v>90000000</x:v>
      </x:c>
      <x:c r="J80" s="60" t="n">
        <x:v>90000000</x:v>
      </x:c>
      <x:c r="K80" s="60" t="n">
        <x:v>90000000</x:v>
      </x:c>
      <x:c r="L80" s="60" t="n">
        <x:v>90000000</x:v>
      </x:c>
      <x:c r="M80" s="60" t="n">
        <x:v>90000000</x:v>
      </x:c>
      <x:c r="N80" s="60" t="n">
        <x:v>90000000</x:v>
      </x:c>
      <x:c r="O80" s="60" t="n">
        <x:v>90000000</x:v>
      </x:c>
      <x:c r="P80" s="60" t="n">
        <x:v>90000000</x:v>
      </x:c>
      <x:c r="Q80" s="60" t="n">
        <x:v>90000000</x:v>
      </x:c>
      <x:c r="R80" s="60" t="n">
        <x:v>90000000</x:v>
      </x:c>
      <x:c r="S80" s="60" t="n">
        <x:v>90000000</x:v>
      </x:c>
      <x:c r="T80" s="60" t="n">
        <x:v>90000000</x:v>
      </x:c>
      <x:c r="U80" s="60" t="n">
        <x:v>90000000</x:v>
      </x:c>
      <x:c r="V80" s="60" t="n">
        <x:v>90000000</x:v>
      </x:c>
      <x:c r="W80" s="60" t="n">
        <x:v>90000000</x:v>
      </x:c>
      <x:c r="X80" s="60" t="n">
        <x:v>90000000</x:v>
      </x:c>
      <x:c r="Y80" s="60" t="n">
        <x:v>90000000</x:v>
      </x:c>
      <x:c r="Z80" s="60" t="n">
        <x:v>90000000</x:v>
      </x:c>
      <x:c r="AA80" s="60" t="n">
        <x:v>90000000</x:v>
      </x:c>
      <x:c r="AB80" s="60" t="n">
        <x:v>90000000</x:v>
      </x:c>
      <x:c r="AC80" s="60" t="n">
        <x:v>90000000</x:v>
      </x:c>
      <x:c r="AD80" s="60" t="n">
        <x:v>90000000</x:v>
      </x:c>
      <x:c r="AE80" s="60" t="n">
        <x:v>90000000</x:v>
      </x:c>
      <x:c r="AF80" s="60" t="n">
        <x:v>90000000</x:v>
      </x:c>
      <x:c r="AG80" s="60" t="n">
        <x:v>90000000</x:v>
      </x:c>
      <x:c r="AH80" s="60" t="n">
        <x:v>90000000</x:v>
      </x:c>
      <x:c r="AI80" s="60" t="n">
        <x:v>90000000</x:v>
      </x:c>
      <x:c r="AJ80" s="60" t="n">
        <x:v>90000000</x:v>
      </x:c>
      <x:c r="AK80" s="60" t="n">
        <x:v>90000000</x:v>
      </x:c>
      <x:c r="AL80" s="60" t="n">
        <x:v>90000000</x:v>
      </x:c>
    </x:row>
    <x:row r="81">
      <x:c r="A81" s="47" t="str"/>
      <x:c r="B81" s="48" t="str">
        <x:v>Upside</x:v>
      </x:c>
      <x:c r="C81" s="60" t="n">
        <x:v>110000000</x:v>
      </x:c>
      <x:c r="D81" s="60" t="n">
        <x:v>110000000</x:v>
      </x:c>
      <x:c r="E81" s="60" t="n">
        <x:v>110000000</x:v>
      </x:c>
      <x:c r="F81" s="60" t="n">
        <x:v>110000000</x:v>
      </x:c>
      <x:c r="G81" s="60" t="n">
        <x:v>110000000</x:v>
      </x:c>
      <x:c r="H81" s="60" t="n">
        <x:v>110000000</x:v>
      </x:c>
      <x:c r="I81" s="60" t="n">
        <x:v>110000000</x:v>
      </x:c>
      <x:c r="J81" s="60" t="n">
        <x:v>110000000</x:v>
      </x:c>
      <x:c r="K81" s="60" t="n">
        <x:v>110000000</x:v>
      </x:c>
      <x:c r="L81" s="60" t="n">
        <x:v>110000000</x:v>
      </x:c>
      <x:c r="M81" s="60" t="n">
        <x:v>110000000</x:v>
      </x:c>
      <x:c r="N81" s="60" t="n">
        <x:v>110000000</x:v>
      </x:c>
      <x:c r="O81" s="60" t="n">
        <x:v>110000000</x:v>
      </x:c>
      <x:c r="P81" s="60" t="n">
        <x:v>110000000</x:v>
      </x:c>
      <x:c r="Q81" s="60" t="n">
        <x:v>110000000</x:v>
      </x:c>
      <x:c r="R81" s="60" t="n">
        <x:v>110000000</x:v>
      </x:c>
      <x:c r="S81" s="60" t="n">
        <x:v>110000000</x:v>
      </x:c>
      <x:c r="T81" s="60" t="n">
        <x:v>110000000</x:v>
      </x:c>
      <x:c r="U81" s="60" t="n">
        <x:v>110000000</x:v>
      </x:c>
      <x:c r="V81" s="60" t="n">
        <x:v>110000000</x:v>
      </x:c>
      <x:c r="W81" s="60" t="n">
        <x:v>110000000</x:v>
      </x:c>
      <x:c r="X81" s="60" t="n">
        <x:v>110000000</x:v>
      </x:c>
      <x:c r="Y81" s="60" t="n">
        <x:v>110000000</x:v>
      </x:c>
      <x:c r="Z81" s="60" t="n">
        <x:v>110000000</x:v>
      </x:c>
      <x:c r="AA81" s="60" t="n">
        <x:v>110000000</x:v>
      </x:c>
      <x:c r="AB81" s="60" t="n">
        <x:v>110000000</x:v>
      </x:c>
      <x:c r="AC81" s="60" t="n">
        <x:v>110000000</x:v>
      </x:c>
      <x:c r="AD81" s="60" t="n">
        <x:v>110000000</x:v>
      </x:c>
      <x:c r="AE81" s="60" t="n">
        <x:v>110000000</x:v>
      </x:c>
      <x:c r="AF81" s="60" t="n">
        <x:v>110000000</x:v>
      </x:c>
      <x:c r="AG81" s="60" t="n">
        <x:v>110000000</x:v>
      </x:c>
      <x:c r="AH81" s="60" t="n">
        <x:v>110000000</x:v>
      </x:c>
      <x:c r="AI81" s="60" t="n">
        <x:v>110000000</x:v>
      </x:c>
      <x:c r="AJ81" s="60" t="n">
        <x:v>110000000</x:v>
      </x:c>
      <x:c r="AK81" s="60" t="n">
        <x:v>110000000</x:v>
      </x:c>
      <x:c r="AL81" s="60" t="n">
        <x:v>110000000</x:v>
      </x:c>
    </x:row>
  </x:sheetData>
  <x:mergeCells>
    <x:mergeCell ref="C2:AL2"/>
    <x:mergeCell ref="C3:AL3"/>
  </x:mergeCells>
  <x:dataValidations count="2">
    <x:dataValidation type="list" sqref="D6">
      <x:formula1>"Downside,Base,Upside"</x:formula1>
    </x:dataValidation>
    <x:dataValidation type="whole" operator="between" sqref="D10">
      <x:formula1>1</x:formula1>
      <x:formula2>36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9DFF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0" hidden="0" customWidth="1"/>
    <x:col min="2" max="2" width="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</x:row>
    <x:row r="2">
      <x:c r="A2" s="1"/>
      <x:c r="B2" s="1"/>
      <x:c r="C2" s="4" t="str">
        <x:v>Revenue Model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  <x:c r="AA2" s="5"/>
      <x:c r="AB2" s="5"/>
      <x:c r="AC2" s="5"/>
      <x:c r="AD2" s="5"/>
      <x:c r="AE2" s="5"/>
      <x:c r="AF2" s="5"/>
      <x:c r="AG2" s="5"/>
      <x:c r="AH2" s="5"/>
      <x:c r="AI2" s="5"/>
      <x:c r="AJ2" s="5"/>
      <x:c r="AK2" s="5"/>
      <x:c r="AL2" s="5"/>
    </x:row>
    <x:row r="3">
      <x:c r="A3" s="1"/>
      <x:c r="B3" s="1"/>
      <x:c r="C3" s="6" t="str">
        <x:v>36-month selected scenario | Monetary outputs shown in KRW million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  <x:c r="AC3" s="5"/>
      <x:c r="AD3" s="5"/>
      <x:c r="AE3" s="5"/>
      <x:c r="AF3" s="5"/>
      <x:c r="AG3" s="5"/>
      <x:c r="AH3" s="5"/>
      <x:c r="AI3" s="5"/>
      <x:c r="AJ3" s="5"/>
      <x:c r="AK3" s="5"/>
      <x:c r="AL3" s="5"/>
    </x:row>
    <x:row r="4">
      <x:c r="A4" s="1" t="str"/>
      <x:c r="B4" s="1" t="str"/>
      <x:c r="C4" s="37" t="n">
        <x:f>'Assumptions'!C17</x:f>
        <x:v>46266</x:v>
      </x:c>
      <x:c r="D4" s="37" t="n">
        <x:f>'Assumptions'!D17</x:f>
        <x:v>46296</x:v>
      </x:c>
      <x:c r="E4" s="37" t="n">
        <x:f>'Assumptions'!E17</x:f>
        <x:v>46327</x:v>
      </x:c>
      <x:c r="F4" s="37" t="n">
        <x:f>'Assumptions'!F17</x:f>
        <x:v>46357</x:v>
      </x:c>
      <x:c r="G4" s="37" t="n">
        <x:f>'Assumptions'!G17</x:f>
        <x:v>46388</x:v>
      </x:c>
      <x:c r="H4" s="37" t="n">
        <x:f>'Assumptions'!H17</x:f>
        <x:v>46419</x:v>
      </x:c>
      <x:c r="I4" s="37" t="n">
        <x:f>'Assumptions'!I17</x:f>
        <x:v>46447</x:v>
      </x:c>
      <x:c r="J4" s="37" t="n">
        <x:f>'Assumptions'!J17</x:f>
        <x:v>46478</x:v>
      </x:c>
      <x:c r="K4" s="37" t="n">
        <x:f>'Assumptions'!K17</x:f>
        <x:v>46508</x:v>
      </x:c>
      <x:c r="L4" s="37" t="n">
        <x:f>'Assumptions'!L17</x:f>
        <x:v>46539</x:v>
      </x:c>
      <x:c r="M4" s="37" t="n">
        <x:f>'Assumptions'!M17</x:f>
        <x:v>46569</x:v>
      </x:c>
      <x:c r="N4" s="37" t="n">
        <x:f>'Assumptions'!N17</x:f>
        <x:v>46600</x:v>
      </x:c>
      <x:c r="O4" s="37" t="n">
        <x:f>'Assumptions'!O17</x:f>
        <x:v>46631</x:v>
      </x:c>
      <x:c r="P4" s="37" t="n">
        <x:f>'Assumptions'!P17</x:f>
        <x:v>46661</x:v>
      </x:c>
      <x:c r="Q4" s="37" t="n">
        <x:f>'Assumptions'!Q17</x:f>
        <x:v>46692</x:v>
      </x:c>
      <x:c r="R4" s="37" t="n">
        <x:f>'Assumptions'!R17</x:f>
        <x:v>46722</x:v>
      </x:c>
      <x:c r="S4" s="37" t="n">
        <x:f>'Assumptions'!S17</x:f>
        <x:v>46753</x:v>
      </x:c>
      <x:c r="T4" s="37" t="n">
        <x:f>'Assumptions'!T17</x:f>
        <x:v>46784</x:v>
      </x:c>
      <x:c r="U4" s="37" t="n">
        <x:f>'Assumptions'!U17</x:f>
        <x:v>46813</x:v>
      </x:c>
      <x:c r="V4" s="37" t="n">
        <x:f>'Assumptions'!V17</x:f>
        <x:v>46844</x:v>
      </x:c>
      <x:c r="W4" s="37" t="n">
        <x:f>'Assumptions'!W17</x:f>
        <x:v>46874</x:v>
      </x:c>
      <x:c r="X4" s="37" t="n">
        <x:f>'Assumptions'!X17</x:f>
        <x:v>46905</x:v>
      </x:c>
      <x:c r="Y4" s="37" t="n">
        <x:f>'Assumptions'!Y17</x:f>
        <x:v>46935</x:v>
      </x:c>
      <x:c r="Z4" s="37" t="n">
        <x:f>'Assumptions'!Z17</x:f>
        <x:v>46966</x:v>
      </x:c>
      <x:c r="AA4" s="37" t="n">
        <x:f>'Assumptions'!AA17</x:f>
        <x:v>46997</x:v>
      </x:c>
      <x:c r="AB4" s="37" t="n">
        <x:f>'Assumptions'!AB17</x:f>
        <x:v>47027</x:v>
      </x:c>
      <x:c r="AC4" s="37" t="n">
        <x:f>'Assumptions'!AC17</x:f>
        <x:v>47058</x:v>
      </x:c>
      <x:c r="AD4" s="37" t="n">
        <x:f>'Assumptions'!AD17</x:f>
        <x:v>47088</x:v>
      </x:c>
      <x:c r="AE4" s="37" t="n">
        <x:f>'Assumptions'!AE17</x:f>
        <x:v>47119</x:v>
      </x:c>
      <x:c r="AF4" s="37" t="n">
        <x:f>'Assumptions'!AF17</x:f>
        <x:v>47150</x:v>
      </x:c>
      <x:c r="AG4" s="37" t="n">
        <x:f>'Assumptions'!AG17</x:f>
        <x:v>47178</x:v>
      </x:c>
      <x:c r="AH4" s="37" t="n">
        <x:f>'Assumptions'!AH17</x:f>
        <x:v>47209</x:v>
      </x:c>
      <x:c r="AI4" s="37" t="n">
        <x:f>'Assumptions'!AI17</x:f>
        <x:v>47239</x:v>
      </x:c>
      <x:c r="AJ4" s="37" t="n">
        <x:f>'Assumptions'!AJ17</x:f>
        <x:v>47270</x:v>
      </x:c>
      <x:c r="AK4" s="37" t="n">
        <x:f>'Assumptions'!AK17</x:f>
        <x:v>47300</x:v>
      </x:c>
      <x:c r="AL4" s="37" t="n">
        <x:f>'Assumptions'!AL17</x:f>
        <x:v>47331</x:v>
      </x:c>
    </x:row>
    <x:row r="5">
      <x:c r="A5" s="1" t="str"/>
      <x:c r="B5" s="1" t="str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</x:row>
    <x:row r="6">
      <x:c r="A6" s="66" t="str">
        <x:v>Beginning Customers</x:v>
      </x:c>
      <x:c r="B6" s="66" t="str"/>
      <x:c r="C6" s="73" t="n">
        <x:f>'Assumptions'!$D$7</x:f>
        <x:v>3</x:v>
      </x:c>
      <x:c r="D6" s="73" t="n">
        <x:f>C9</x:f>
        <x:v>2.925</x:v>
      </x:c>
      <x:c r="E6" s="73" t="n">
        <x:f>D9</x:f>
        <x:v>2.8518749999999997</x:v>
      </x:c>
      <x:c r="F6" s="73" t="n">
        <x:f>E9</x:f>
        <x:v>2.780578125</x:v>
      </x:c>
      <x:c r="G6" s="73" t="n">
        <x:f>F9</x:f>
        <x:v>4.311063671875</x:v>
      </x:c>
      <x:c r="H6" s="73" t="n">
        <x:f>G9</x:f>
        <x:v>5.8032870800781255</x:v>
      </x:c>
      <x:c r="I6" s="73" t="n">
        <x:f>H9</x:f>
        <x:v>7.258204903076173</x:v>
      </x:c>
      <x:c r="J6" s="73" t="n">
        <x:f>I9</x:f>
        <x:v>8.676749780499268</x:v>
      </x:c>
      <x:c r="K6" s="73" t="n">
        <x:f>J9</x:f>
        <x:v>10.059831035986786</x:v>
      </x:c>
      <x:c r="L6" s="73" t="n">
        <x:f>K9</x:f>
        <x:v>11.408335260087116</x:v>
      </x:c>
      <x:c r="M6" s="73" t="n">
        <x:f>L9</x:f>
        <x:v>12.723126878584937</x:v>
      </x:c>
      <x:c r="N6" s="73" t="n">
        <x:f>M9</x:f>
        <x:v>14.005048706620313</x:v>
      </x:c>
      <x:c r="O6" s="73" t="n">
        <x:f>N9</x:f>
        <x:v>15.254922488954804</x:v>
      </x:c>
      <x:c r="P6" s="73" t="n">
        <x:f>O9</x:f>
        <x:v>16.473549426730937</x:v>
      </x:c>
      <x:c r="Q6" s="73" t="n">
        <x:f>P9</x:f>
        <x:v>17.661710691062666</x:v>
      </x:c>
      <x:c r="R6" s="73" t="n">
        <x:f>Q9</x:f>
        <x:v>18.8201679237861</x:v>
      </x:c>
      <x:c r="S6" s="73" t="n">
        <x:f>R9</x:f>
        <x:v>19.94966372569145</x:v>
      </x:c>
      <x:c r="T6" s="73" t="n">
        <x:f>S9</x:f>
        <x:v>21.050922132549168</x:v>
      </x:c>
      <x:c r="U6" s="73" t="n">
        <x:f>T9</x:f>
        <x:v>22.12464907923544</x:v>
      </x:c>
      <x:c r="V6" s="73" t="n">
        <x:f>U9</x:f>
        <x:v>23.171532852254554</x:v>
      </x:c>
      <x:c r="W6" s="73" t="n">
        <x:f>V9</x:f>
        <x:v>24.19224453094819</x:v>
      </x:c>
      <x:c r="X6" s="73" t="n">
        <x:f>W9</x:f>
        <x:v>25.18743841767449</x:v>
      </x:c>
      <x:c r="Y6" s="73" t="n">
        <x:f>X9</x:f>
        <x:v>26.15775245723263</x:v>
      </x:c>
      <x:c r="Z6" s="73" t="n">
        <x:f>Y9</x:f>
        <x:v>27.103808645801813</x:v>
      </x:c>
      <x:c r="AA6" s="73" t="n">
        <x:f>Z9</x:f>
        <x:v>28.026213429656767</x:v>
      </x:c>
      <x:c r="AB6" s="73" t="n">
        <x:f>AA9</x:f>
        <x:v>28.92555809391535</x:v>
      </x:c>
      <x:c r="AC6" s="73" t="n">
        <x:f>AB9</x:f>
        <x:v>29.802419141567466</x:v>
      </x:c>
      <x:c r="AD6" s="73" t="n">
        <x:f>AC9</x:f>
        <x:v>30.65735866302828</x:v>
      </x:c>
      <x:c r="AE6" s="73" t="n">
        <x:f>AD9</x:f>
        <x:v>31.49092469645257</x:v>
      </x:c>
      <x:c r="AF6" s="73" t="n">
        <x:f>AE9</x:f>
        <x:v>32.30365157904125</x:v>
      </x:c>
      <x:c r="AG6" s="73" t="n">
        <x:f>AF9</x:f>
        <x:v>33.09606028956522</x:v>
      </x:c>
      <x:c r="AH6" s="73" t="n">
        <x:f>AG9</x:f>
        <x:v>33.868658782326094</x:v>
      </x:c>
      <x:c r="AI6" s="73" t="n">
        <x:f>AH9</x:f>
        <x:v>34.62194231276794</x:v>
      </x:c>
      <x:c r="AJ6" s="73" t="n">
        <x:f>AI9</x:f>
        <x:v>35.35639375494875</x:v>
      </x:c>
      <x:c r="AK6" s="73" t="n">
        <x:f>AJ9</x:f>
        <x:v>36.07248391107503</x:v>
      </x:c>
      <x:c r="AL6" s="73" t="n">
        <x:f>AK9</x:f>
        <x:v>36.77067181329816</x:v>
      </x:c>
    </x:row>
    <x:row r="7">
      <x:c r="A7" s="67" t="str">
        <x:v>New Customers</x:v>
      </x:c>
      <x:c r="B7" s="67" t="str"/>
      <x:c r="C7" s="73" t="n">
        <x:f>IF(1&lt;='Assumptions'!$D$11,0,INDEX('Assumptions'!$C$18:$AL$18,1,1-'Assumptions'!$D$11)*INDEX('Assumptions'!$C$23:$AL$23,1,1-'Assumptions'!$D$11)*INDEX('Assumptions'!$C$28:$AL$28,1,1-'Assumptions'!$D$11))</x:f>
        <x:v>0</x:v>
      </x:c>
      <x:c r="D7" s="73" t="n">
        <x:f>IF(2&lt;='Assumptions'!$D$11,0,INDEX('Assumptions'!$C$18:$AL$18,1,2-'Assumptions'!$D$11)*INDEX('Assumptions'!$C$23:$AL$23,1,2-'Assumptions'!$D$11)*INDEX('Assumptions'!$C$28:$AL$28,1,2-'Assumptions'!$D$11))</x:f>
        <x:v>0</x:v>
      </x:c>
      <x:c r="E7" s="73" t="n">
        <x:f>IF(3&lt;='Assumptions'!$D$11,0,INDEX('Assumptions'!$C$18:$AL$18,1,3-'Assumptions'!$D$11)*INDEX('Assumptions'!$C$23:$AL$23,1,3-'Assumptions'!$D$11)*INDEX('Assumptions'!$C$28:$AL$28,1,3-'Assumptions'!$D$11))</x:f>
        <x:v>0</x:v>
      </x:c>
      <x:c r="F7" s="73" t="n">
        <x:f>IF(4&lt;='Assumptions'!$D$11,0,INDEX('Assumptions'!$C$18:$AL$18,1,4-'Assumptions'!$D$11)*INDEX('Assumptions'!$C$23:$AL$23,1,4-'Assumptions'!$D$11)*INDEX('Assumptions'!$C$28:$AL$28,1,4-'Assumptions'!$D$11))</x:f>
        <x:v>1.6</x:v>
      </x:c>
      <x:c r="G7" s="73" t="n">
        <x:f>IF(5&lt;='Assumptions'!$D$11,0,INDEX('Assumptions'!$C$18:$AL$18,1,5-'Assumptions'!$D$11)*INDEX('Assumptions'!$C$23:$AL$23,1,5-'Assumptions'!$D$11)*INDEX('Assumptions'!$C$28:$AL$28,1,5-'Assumptions'!$D$11))</x:f>
        <x:v>1.6</x:v>
      </x:c>
      <x:c r="H7" s="73" t="n">
        <x:f>IF(6&lt;='Assumptions'!$D$11,0,INDEX('Assumptions'!$C$18:$AL$18,1,6-'Assumptions'!$D$11)*INDEX('Assumptions'!$C$23:$AL$23,1,6-'Assumptions'!$D$11)*INDEX('Assumptions'!$C$28:$AL$28,1,6-'Assumptions'!$D$11))</x:f>
        <x:v>1.6</x:v>
      </x:c>
      <x:c r="I7" s="73" t="n">
        <x:f>IF(7&lt;='Assumptions'!$D$11,0,INDEX('Assumptions'!$C$18:$AL$18,1,7-'Assumptions'!$D$11)*INDEX('Assumptions'!$C$23:$AL$23,1,7-'Assumptions'!$D$11)*INDEX('Assumptions'!$C$28:$AL$28,1,7-'Assumptions'!$D$11))</x:f>
        <x:v>1.6</x:v>
      </x:c>
      <x:c r="J7" s="73" t="n">
        <x:f>IF(8&lt;='Assumptions'!$D$11,0,INDEX('Assumptions'!$C$18:$AL$18,1,8-'Assumptions'!$D$11)*INDEX('Assumptions'!$C$23:$AL$23,1,8-'Assumptions'!$D$11)*INDEX('Assumptions'!$C$28:$AL$28,1,8-'Assumptions'!$D$11))</x:f>
        <x:v>1.6</x:v>
      </x:c>
      <x:c r="K7" s="73" t="n">
        <x:f>IF(9&lt;='Assumptions'!$D$11,0,INDEX('Assumptions'!$C$18:$AL$18,1,9-'Assumptions'!$D$11)*INDEX('Assumptions'!$C$23:$AL$23,1,9-'Assumptions'!$D$11)*INDEX('Assumptions'!$C$28:$AL$28,1,9-'Assumptions'!$D$11))</x:f>
        <x:v>1.6</x:v>
      </x:c>
      <x:c r="L7" s="73" t="n">
        <x:f>IF(10&lt;='Assumptions'!$D$11,0,INDEX('Assumptions'!$C$18:$AL$18,1,10-'Assumptions'!$D$11)*INDEX('Assumptions'!$C$23:$AL$23,1,10-'Assumptions'!$D$11)*INDEX('Assumptions'!$C$28:$AL$28,1,10-'Assumptions'!$D$11))</x:f>
        <x:v>1.6</x:v>
      </x:c>
      <x:c r="M7" s="73" t="n">
        <x:f>IF(11&lt;='Assumptions'!$D$11,0,INDEX('Assumptions'!$C$18:$AL$18,1,11-'Assumptions'!$D$11)*INDEX('Assumptions'!$C$23:$AL$23,1,11-'Assumptions'!$D$11)*INDEX('Assumptions'!$C$28:$AL$28,1,11-'Assumptions'!$D$11))</x:f>
        <x:v>1.6</x:v>
      </x:c>
      <x:c r="N7" s="73" t="n">
        <x:f>IF(12&lt;='Assumptions'!$D$11,0,INDEX('Assumptions'!$C$18:$AL$18,1,12-'Assumptions'!$D$11)*INDEX('Assumptions'!$C$23:$AL$23,1,12-'Assumptions'!$D$11)*INDEX('Assumptions'!$C$28:$AL$28,1,12-'Assumptions'!$D$11))</x:f>
        <x:v>1.6</x:v>
      </x:c>
      <x:c r="O7" s="73" t="n">
        <x:f>IF(13&lt;='Assumptions'!$D$11,0,INDEX('Assumptions'!$C$18:$AL$18,1,13-'Assumptions'!$D$11)*INDEX('Assumptions'!$C$23:$AL$23,1,13-'Assumptions'!$D$11)*INDEX('Assumptions'!$C$28:$AL$28,1,13-'Assumptions'!$D$11))</x:f>
        <x:v>1.6</x:v>
      </x:c>
      <x:c r="P7" s="73" t="n">
        <x:f>IF(14&lt;='Assumptions'!$D$11,0,INDEX('Assumptions'!$C$18:$AL$18,1,14-'Assumptions'!$D$11)*INDEX('Assumptions'!$C$23:$AL$23,1,14-'Assumptions'!$D$11)*INDEX('Assumptions'!$C$28:$AL$28,1,14-'Assumptions'!$D$11))</x:f>
        <x:v>1.6</x:v>
      </x:c>
      <x:c r="Q7" s="73" t="n">
        <x:f>IF(15&lt;='Assumptions'!$D$11,0,INDEX('Assumptions'!$C$18:$AL$18,1,15-'Assumptions'!$D$11)*INDEX('Assumptions'!$C$23:$AL$23,1,15-'Assumptions'!$D$11)*INDEX('Assumptions'!$C$28:$AL$28,1,15-'Assumptions'!$D$11))</x:f>
        <x:v>1.6</x:v>
      </x:c>
      <x:c r="R7" s="73" t="n">
        <x:f>IF(16&lt;='Assumptions'!$D$11,0,INDEX('Assumptions'!$C$18:$AL$18,1,16-'Assumptions'!$D$11)*INDEX('Assumptions'!$C$23:$AL$23,1,16-'Assumptions'!$D$11)*INDEX('Assumptions'!$C$28:$AL$28,1,16-'Assumptions'!$D$11))</x:f>
        <x:v>1.6</x:v>
      </x:c>
      <x:c r="S7" s="73" t="n">
        <x:f>IF(17&lt;='Assumptions'!$D$11,0,INDEX('Assumptions'!$C$18:$AL$18,1,17-'Assumptions'!$D$11)*INDEX('Assumptions'!$C$23:$AL$23,1,17-'Assumptions'!$D$11)*INDEX('Assumptions'!$C$28:$AL$28,1,17-'Assumptions'!$D$11))</x:f>
        <x:v>1.6</x:v>
      </x:c>
      <x:c r="T7" s="73" t="n">
        <x:f>IF(18&lt;='Assumptions'!$D$11,0,INDEX('Assumptions'!$C$18:$AL$18,1,18-'Assumptions'!$D$11)*INDEX('Assumptions'!$C$23:$AL$23,1,18-'Assumptions'!$D$11)*INDEX('Assumptions'!$C$28:$AL$28,1,18-'Assumptions'!$D$11))</x:f>
        <x:v>1.6</x:v>
      </x:c>
      <x:c r="U7" s="73" t="n">
        <x:f>IF(19&lt;='Assumptions'!$D$11,0,INDEX('Assumptions'!$C$18:$AL$18,1,19-'Assumptions'!$D$11)*INDEX('Assumptions'!$C$23:$AL$23,1,19-'Assumptions'!$D$11)*INDEX('Assumptions'!$C$28:$AL$28,1,19-'Assumptions'!$D$11))</x:f>
        <x:v>1.6</x:v>
      </x:c>
      <x:c r="V7" s="73" t="n">
        <x:f>IF(20&lt;='Assumptions'!$D$11,0,INDEX('Assumptions'!$C$18:$AL$18,1,20-'Assumptions'!$D$11)*INDEX('Assumptions'!$C$23:$AL$23,1,20-'Assumptions'!$D$11)*INDEX('Assumptions'!$C$28:$AL$28,1,20-'Assumptions'!$D$11))</x:f>
        <x:v>1.6</x:v>
      </x:c>
      <x:c r="W7" s="73" t="n">
        <x:f>IF(21&lt;='Assumptions'!$D$11,0,INDEX('Assumptions'!$C$18:$AL$18,1,21-'Assumptions'!$D$11)*INDEX('Assumptions'!$C$23:$AL$23,1,21-'Assumptions'!$D$11)*INDEX('Assumptions'!$C$28:$AL$28,1,21-'Assumptions'!$D$11))</x:f>
        <x:v>1.6</x:v>
      </x:c>
      <x:c r="X7" s="73" t="n">
        <x:f>IF(22&lt;='Assumptions'!$D$11,0,INDEX('Assumptions'!$C$18:$AL$18,1,22-'Assumptions'!$D$11)*INDEX('Assumptions'!$C$23:$AL$23,1,22-'Assumptions'!$D$11)*INDEX('Assumptions'!$C$28:$AL$28,1,22-'Assumptions'!$D$11))</x:f>
        <x:v>1.6</x:v>
      </x:c>
      <x:c r="Y7" s="73" t="n">
        <x:f>IF(23&lt;='Assumptions'!$D$11,0,INDEX('Assumptions'!$C$18:$AL$18,1,23-'Assumptions'!$D$11)*INDEX('Assumptions'!$C$23:$AL$23,1,23-'Assumptions'!$D$11)*INDEX('Assumptions'!$C$28:$AL$28,1,23-'Assumptions'!$D$11))</x:f>
        <x:v>1.6</x:v>
      </x:c>
      <x:c r="Z7" s="73" t="n">
        <x:f>IF(24&lt;='Assumptions'!$D$11,0,INDEX('Assumptions'!$C$18:$AL$18,1,24-'Assumptions'!$D$11)*INDEX('Assumptions'!$C$23:$AL$23,1,24-'Assumptions'!$D$11)*INDEX('Assumptions'!$C$28:$AL$28,1,24-'Assumptions'!$D$11))</x:f>
        <x:v>1.6</x:v>
      </x:c>
      <x:c r="AA7" s="73" t="n">
        <x:f>IF(25&lt;='Assumptions'!$D$11,0,INDEX('Assumptions'!$C$18:$AL$18,1,25-'Assumptions'!$D$11)*INDEX('Assumptions'!$C$23:$AL$23,1,25-'Assumptions'!$D$11)*INDEX('Assumptions'!$C$28:$AL$28,1,25-'Assumptions'!$D$11))</x:f>
        <x:v>1.6</x:v>
      </x:c>
      <x:c r="AB7" s="73" t="n">
        <x:f>IF(26&lt;='Assumptions'!$D$11,0,INDEX('Assumptions'!$C$18:$AL$18,1,26-'Assumptions'!$D$11)*INDEX('Assumptions'!$C$23:$AL$23,1,26-'Assumptions'!$D$11)*INDEX('Assumptions'!$C$28:$AL$28,1,26-'Assumptions'!$D$11))</x:f>
        <x:v>1.6</x:v>
      </x:c>
      <x:c r="AC7" s="73" t="n">
        <x:f>IF(27&lt;='Assumptions'!$D$11,0,INDEX('Assumptions'!$C$18:$AL$18,1,27-'Assumptions'!$D$11)*INDEX('Assumptions'!$C$23:$AL$23,1,27-'Assumptions'!$D$11)*INDEX('Assumptions'!$C$28:$AL$28,1,27-'Assumptions'!$D$11))</x:f>
        <x:v>1.6</x:v>
      </x:c>
      <x:c r="AD7" s="73" t="n">
        <x:f>IF(28&lt;='Assumptions'!$D$11,0,INDEX('Assumptions'!$C$18:$AL$18,1,28-'Assumptions'!$D$11)*INDEX('Assumptions'!$C$23:$AL$23,1,28-'Assumptions'!$D$11)*INDEX('Assumptions'!$C$28:$AL$28,1,28-'Assumptions'!$D$11))</x:f>
        <x:v>1.6</x:v>
      </x:c>
      <x:c r="AE7" s="73" t="n">
        <x:f>IF(29&lt;='Assumptions'!$D$11,0,INDEX('Assumptions'!$C$18:$AL$18,1,29-'Assumptions'!$D$11)*INDEX('Assumptions'!$C$23:$AL$23,1,29-'Assumptions'!$D$11)*INDEX('Assumptions'!$C$28:$AL$28,1,29-'Assumptions'!$D$11))</x:f>
        <x:v>1.6</x:v>
      </x:c>
      <x:c r="AF7" s="73" t="n">
        <x:f>IF(30&lt;='Assumptions'!$D$11,0,INDEX('Assumptions'!$C$18:$AL$18,1,30-'Assumptions'!$D$11)*INDEX('Assumptions'!$C$23:$AL$23,1,30-'Assumptions'!$D$11)*INDEX('Assumptions'!$C$28:$AL$28,1,30-'Assumptions'!$D$11))</x:f>
        <x:v>1.6</x:v>
      </x:c>
      <x:c r="AG7" s="73" t="n">
        <x:f>IF(31&lt;='Assumptions'!$D$11,0,INDEX('Assumptions'!$C$18:$AL$18,1,31-'Assumptions'!$D$11)*INDEX('Assumptions'!$C$23:$AL$23,1,31-'Assumptions'!$D$11)*INDEX('Assumptions'!$C$28:$AL$28,1,31-'Assumptions'!$D$11))</x:f>
        <x:v>1.6</x:v>
      </x:c>
      <x:c r="AH7" s="73" t="n">
        <x:f>IF(32&lt;='Assumptions'!$D$11,0,INDEX('Assumptions'!$C$18:$AL$18,1,32-'Assumptions'!$D$11)*INDEX('Assumptions'!$C$23:$AL$23,1,32-'Assumptions'!$D$11)*INDEX('Assumptions'!$C$28:$AL$28,1,32-'Assumptions'!$D$11))</x:f>
        <x:v>1.6</x:v>
      </x:c>
      <x:c r="AI7" s="73" t="n">
        <x:f>IF(33&lt;='Assumptions'!$D$11,0,INDEX('Assumptions'!$C$18:$AL$18,1,33-'Assumptions'!$D$11)*INDEX('Assumptions'!$C$23:$AL$23,1,33-'Assumptions'!$D$11)*INDEX('Assumptions'!$C$28:$AL$28,1,33-'Assumptions'!$D$11))</x:f>
        <x:v>1.6</x:v>
      </x:c>
      <x:c r="AJ7" s="73" t="n">
        <x:f>IF(34&lt;='Assumptions'!$D$11,0,INDEX('Assumptions'!$C$18:$AL$18,1,34-'Assumptions'!$D$11)*INDEX('Assumptions'!$C$23:$AL$23,1,34-'Assumptions'!$D$11)*INDEX('Assumptions'!$C$28:$AL$28,1,34-'Assumptions'!$D$11))</x:f>
        <x:v>1.6</x:v>
      </x:c>
      <x:c r="AK7" s="73" t="n">
        <x:f>IF(35&lt;='Assumptions'!$D$11,0,INDEX('Assumptions'!$C$18:$AL$18,1,35-'Assumptions'!$D$11)*INDEX('Assumptions'!$C$23:$AL$23,1,35-'Assumptions'!$D$11)*INDEX('Assumptions'!$C$28:$AL$28,1,35-'Assumptions'!$D$11))</x:f>
        <x:v>1.6</x:v>
      </x:c>
      <x:c r="AL7" s="73" t="n">
        <x:f>IF(36&lt;='Assumptions'!$D$11,0,INDEX('Assumptions'!$C$18:$AL$18,1,36-'Assumptions'!$D$11)*INDEX('Assumptions'!$C$23:$AL$23,1,36-'Assumptions'!$D$11)*INDEX('Assumptions'!$C$28:$AL$28,1,36-'Assumptions'!$D$11))</x:f>
        <x:v>1.6</x:v>
      </x:c>
    </x:row>
    <x:row r="8">
      <x:c r="A8" s="67" t="str">
        <x:v>Churned Customers</x:v>
      </x:c>
      <x:c r="B8" s="67" t="str"/>
      <x:c r="C8" s="73" t="n">
        <x:f>C6*'Assumptions'!C33</x:f>
        <x:v>0.07500000000000001</x:v>
      </x:c>
      <x:c r="D8" s="73" t="n">
        <x:f>D6*'Assumptions'!D33</x:f>
        <x:v>0.073125</x:v>
      </x:c>
      <x:c r="E8" s="73" t="n">
        <x:f>E6*'Assumptions'!E33</x:f>
        <x:v>0.071296875</x:v>
      </x:c>
      <x:c r="F8" s="73" t="n">
        <x:f>F6*'Assumptions'!F33</x:f>
        <x:v>0.069514453125</x:v>
      </x:c>
      <x:c r="G8" s="73" t="n">
        <x:f>G6*'Assumptions'!G33</x:f>
        <x:v>0.107776591796875</x:v>
      </x:c>
      <x:c r="H8" s="73" t="n">
        <x:f>H6*'Assumptions'!H33</x:f>
        <x:v>0.14508217700195314</x:v>
      </x:c>
      <x:c r="I8" s="73" t="n">
        <x:f>I6*'Assumptions'!I33</x:f>
        <x:v>0.18145512257690433</x:v>
      </x:c>
      <x:c r="J8" s="73" t="n">
        <x:f>J6*'Assumptions'!J33</x:f>
        <x:v>0.21691874451248172</x:v>
      </x:c>
      <x:c r="K8" s="73" t="n">
        <x:f>K6*'Assumptions'!K33</x:f>
        <x:v>0.25149577589966965</x:v>
      </x:c>
      <x:c r="L8" s="73" t="n">
        <x:f>L6*'Assumptions'!L33</x:f>
        <x:v>0.2852083815021779</x:v>
      </x:c>
      <x:c r="M8" s="73" t="n">
        <x:f>M6*'Assumptions'!M33</x:f>
        <x:v>0.31807817196462346</x:v>
      </x:c>
      <x:c r="N8" s="73" t="n">
        <x:f>N6*'Assumptions'!N33</x:f>
        <x:v>0.35012621766550783</x:v>
      </x:c>
      <x:c r="O8" s="73" t="n">
        <x:f>O6*'Assumptions'!O33</x:f>
        <x:v>0.38137306222387013</x:v>
      </x:c>
      <x:c r="P8" s="73" t="n">
        <x:f>P6*'Assumptions'!P33</x:f>
        <x:v>0.41183873566827345</x:v>
      </x:c>
      <x:c r="Q8" s="73" t="n">
        <x:f>Q6*'Assumptions'!Q33</x:f>
        <x:v>0.44154276727656666</x:v>
      </x:c>
      <x:c r="R8" s="73" t="n">
        <x:f>R6*'Assumptions'!R33</x:f>
        <x:v>0.47050419809465255</x:v>
      </x:c>
      <x:c r="S8" s="73" t="n">
        <x:f>S6*'Assumptions'!S33</x:f>
        <x:v>0.4987415931422863</x:v>
      </x:c>
      <x:c r="T8" s="73" t="n">
        <x:f>T6*'Assumptions'!T33</x:f>
        <x:v>0.5262730533137292</x:v>
      </x:c>
      <x:c r="U8" s="73" t="n">
        <x:f>U6*'Assumptions'!U33</x:f>
        <x:v>0.553116226980886</x:v>
      </x:c>
      <x:c r="V8" s="73" t="n">
        <x:f>V6*'Assumptions'!V33</x:f>
        <x:v>0.5792883213063639</x:v>
      </x:c>
      <x:c r="W8" s="73" t="n">
        <x:f>W6*'Assumptions'!W33</x:f>
        <x:v>0.6048061132737048</x:v>
      </x:c>
      <x:c r="X8" s="73" t="n">
        <x:f>X6*'Assumptions'!X33</x:f>
        <x:v>0.6296859604418623</x:v>
      </x:c>
      <x:c r="Y8" s="73" t="n">
        <x:f>Y6*'Assumptions'!Y33</x:f>
        <x:v>0.6539438114308158</x:v>
      </x:c>
      <x:c r="Z8" s="73" t="n">
        <x:f>Z6*'Assumptions'!Z33</x:f>
        <x:v>0.6775952161450454</x:v>
      </x:c>
      <x:c r="AA8" s="73" t="n">
        <x:f>AA6*'Assumptions'!AA33</x:f>
        <x:v>0.7006553357414192</x:v>
      </x:c>
      <x:c r="AB8" s="73" t="n">
        <x:f>AB6*'Assumptions'!AB33</x:f>
        <x:v>0.7231389523478837</x:v>
      </x:c>
      <x:c r="AC8" s="73" t="n">
        <x:f>AC6*'Assumptions'!AC33</x:f>
        <x:v>0.7450604785391867</x:v>
      </x:c>
      <x:c r="AD8" s="73" t="n">
        <x:f>AD6*'Assumptions'!AD33</x:f>
        <x:v>0.7664339665757071</x:v>
      </x:c>
      <x:c r="AE8" s="73" t="n">
        <x:f>AE6*'Assumptions'!AE33</x:f>
        <x:v>0.7872731174113143</x:v>
      </x:c>
      <x:c r="AF8" s="73" t="n">
        <x:f>AF6*'Assumptions'!AF33</x:f>
        <x:v>0.8075912894760313</x:v>
      </x:c>
      <x:c r="AG8" s="73" t="n">
        <x:f>AG6*'Assumptions'!AG33</x:f>
        <x:v>0.8274015072391306</x:v>
      </x:c>
      <x:c r="AH8" s="73" t="n">
        <x:f>AH6*'Assumptions'!AH33</x:f>
        <x:v>0.8467164695581524</x:v>
      </x:c>
      <x:c r="AI8" s="73" t="n">
        <x:f>AI6*'Assumptions'!AI33</x:f>
        <x:v>0.8655485578191986</x:v>
      </x:c>
      <x:c r="AJ8" s="73" t="n">
        <x:f>AJ6*'Assumptions'!AJ33</x:f>
        <x:v>0.8839098438737187</x:v>
      </x:c>
      <x:c r="AK8" s="73" t="n">
        <x:f>AK6*'Assumptions'!AK33</x:f>
        <x:v>0.9018120977768759</x:v>
      </x:c>
      <x:c r="AL8" s="73" t="n">
        <x:f>AL6*'Assumptions'!AL33</x:f>
        <x:v>0.919266795332454</x:v>
      </x:c>
    </x:row>
    <x:row r="9">
      <x:c r="A9" s="67" t="str">
        <x:v>Ending Customers</x:v>
      </x:c>
      <x:c r="B9" s="67" t="str"/>
      <x:c r="C9" s="73" t="n">
        <x:f>MAX(0,C6+C7-C8)</x:f>
        <x:v>2.925</x:v>
      </x:c>
      <x:c r="D9" s="73" t="n">
        <x:f>MAX(0,D6+D7-D8)</x:f>
        <x:v>2.8518749999999997</x:v>
      </x:c>
      <x:c r="E9" s="73" t="n">
        <x:f>MAX(0,E6+E7-E8)</x:f>
        <x:v>2.780578125</x:v>
      </x:c>
      <x:c r="F9" s="73" t="n">
        <x:f>MAX(0,F6+F7-F8)</x:f>
        <x:v>4.311063671875</x:v>
      </x:c>
      <x:c r="G9" s="73" t="n">
        <x:f>MAX(0,G6+G7-G8)</x:f>
        <x:v>5.8032870800781255</x:v>
      </x:c>
      <x:c r="H9" s="73" t="n">
        <x:f>MAX(0,H6+H7-H8)</x:f>
        <x:v>7.258204903076173</x:v>
      </x:c>
      <x:c r="I9" s="73" t="n">
        <x:f>MAX(0,I6+I7-I8)</x:f>
        <x:v>8.676749780499268</x:v>
      </x:c>
      <x:c r="J9" s="73" t="n">
        <x:f>MAX(0,J6+J7-J8)</x:f>
        <x:v>10.059831035986786</x:v>
      </x:c>
      <x:c r="K9" s="73" t="n">
        <x:f>MAX(0,K6+K7-K8)</x:f>
        <x:v>11.408335260087116</x:v>
      </x:c>
      <x:c r="L9" s="73" t="n">
        <x:f>MAX(0,L6+L7-L8)</x:f>
        <x:v>12.723126878584937</x:v>
      </x:c>
      <x:c r="M9" s="73" t="n">
        <x:f>MAX(0,M6+M7-M8)</x:f>
        <x:v>14.005048706620313</x:v>
      </x:c>
      <x:c r="N9" s="73" t="n">
        <x:f>MAX(0,N6+N7-N8)</x:f>
        <x:v>15.254922488954804</x:v>
      </x:c>
      <x:c r="O9" s="73" t="n">
        <x:f>MAX(0,O6+O7-O8)</x:f>
        <x:v>16.473549426730937</x:v>
      </x:c>
      <x:c r="P9" s="73" t="n">
        <x:f>MAX(0,P6+P7-P8)</x:f>
        <x:v>17.661710691062666</x:v>
      </x:c>
      <x:c r="Q9" s="73" t="n">
        <x:f>MAX(0,Q6+Q7-Q8)</x:f>
        <x:v>18.8201679237861</x:v>
      </x:c>
      <x:c r="R9" s="73" t="n">
        <x:f>MAX(0,R6+R7-R8)</x:f>
        <x:v>19.94966372569145</x:v>
      </x:c>
      <x:c r="S9" s="73" t="n">
        <x:f>MAX(0,S6+S7-S8)</x:f>
        <x:v>21.050922132549168</x:v>
      </x:c>
      <x:c r="T9" s="73" t="n">
        <x:f>MAX(0,T6+T7-T8)</x:f>
        <x:v>22.12464907923544</x:v>
      </x:c>
      <x:c r="U9" s="73" t="n">
        <x:f>MAX(0,U6+U7-U8)</x:f>
        <x:v>23.171532852254554</x:v>
      </x:c>
      <x:c r="V9" s="73" t="n">
        <x:f>MAX(0,V6+V7-V8)</x:f>
        <x:v>24.19224453094819</x:v>
      </x:c>
      <x:c r="W9" s="73" t="n">
        <x:f>MAX(0,W6+W7-W8)</x:f>
        <x:v>25.18743841767449</x:v>
      </x:c>
      <x:c r="X9" s="73" t="n">
        <x:f>MAX(0,X6+X7-X8)</x:f>
        <x:v>26.15775245723263</x:v>
      </x:c>
      <x:c r="Y9" s="73" t="n">
        <x:f>MAX(0,Y6+Y7-Y8)</x:f>
        <x:v>27.103808645801813</x:v>
      </x:c>
      <x:c r="Z9" s="73" t="n">
        <x:f>MAX(0,Z6+Z7-Z8)</x:f>
        <x:v>28.026213429656767</x:v>
      </x:c>
      <x:c r="AA9" s="73" t="n">
        <x:f>MAX(0,AA6+AA7-AA8)</x:f>
        <x:v>28.92555809391535</x:v>
      </x:c>
      <x:c r="AB9" s="73" t="n">
        <x:f>MAX(0,AB6+AB7-AB8)</x:f>
        <x:v>29.802419141567466</x:v>
      </x:c>
      <x:c r="AC9" s="73" t="n">
        <x:f>MAX(0,AC6+AC7-AC8)</x:f>
        <x:v>30.65735866302828</x:v>
      </x:c>
      <x:c r="AD9" s="73" t="n">
        <x:f>MAX(0,AD6+AD7-AD8)</x:f>
        <x:v>31.49092469645257</x:v>
      </x:c>
      <x:c r="AE9" s="73" t="n">
        <x:f>MAX(0,AE6+AE7-AE8)</x:f>
        <x:v>32.30365157904125</x:v>
      </x:c>
      <x:c r="AF9" s="73" t="n">
        <x:f>MAX(0,AF6+AF7-AF8)</x:f>
        <x:v>33.09606028956522</x:v>
      </x:c>
      <x:c r="AG9" s="73" t="n">
        <x:f>MAX(0,AG6+AG7-AG8)</x:f>
        <x:v>33.868658782326094</x:v>
      </x:c>
      <x:c r="AH9" s="73" t="n">
        <x:f>MAX(0,AH6+AH7-AH8)</x:f>
        <x:v>34.62194231276794</x:v>
      </x:c>
      <x:c r="AI9" s="73" t="n">
        <x:f>MAX(0,AI6+AI7-AI8)</x:f>
        <x:v>35.35639375494875</x:v>
      </x:c>
      <x:c r="AJ9" s="73" t="n">
        <x:f>MAX(0,AJ6+AJ7-AJ8)</x:f>
        <x:v>36.07248391107503</x:v>
      </x:c>
      <x:c r="AK9" s="73" t="n">
        <x:f>MAX(0,AK6+AK7-AK8)</x:f>
        <x:v>36.77067181329816</x:v>
      </x:c>
      <x:c r="AL9" s="73" t="n">
        <x:f>MAX(0,AL6+AL7-AL8)</x:f>
        <x:v>37.451405017965705</x:v>
      </x:c>
    </x:row>
    <x:row r="10">
      <x:c r="A10" s="67" t="str"/>
      <x:c r="B10" s="67" t="str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  <x:c r="AA10" s="14"/>
      <x:c r="AB10" s="14"/>
      <x:c r="AC10" s="14"/>
      <x:c r="AD10" s="14"/>
      <x:c r="AE10" s="14"/>
      <x:c r="AF10" s="14"/>
      <x:c r="AG10" s="14"/>
      <x:c r="AH10" s="14"/>
      <x:c r="AI10" s="14"/>
      <x:c r="AJ10" s="14"/>
      <x:c r="AK10" s="14"/>
      <x:c r="AL10" s="14"/>
    </x:row>
    <x:row r="11">
      <x:c r="A11" s="66" t="str">
        <x:v>Base Subscription Revenue</x:v>
      </x:c>
      <x:c r="B11" s="66" t="str"/>
      <x:c r="C11" s="74" t="n">
        <x:f>C9*'Assumptions'!C38</x:f>
        <x:v>14625000</x:v>
      </x:c>
      <x:c r="D11" s="74" t="n">
        <x:f>D9*'Assumptions'!D38</x:f>
        <x:v>14259374.999999998</x:v>
      </x:c>
      <x:c r="E11" s="74" t="n">
        <x:f>E9*'Assumptions'!E38</x:f>
        <x:v>13902890.625</x:v>
      </x:c>
      <x:c r="F11" s="74" t="n">
        <x:f>F9*'Assumptions'!F38</x:f>
        <x:v>21555318.359375</x:v>
      </x:c>
      <x:c r="G11" s="74" t="n">
        <x:f>G9*'Assumptions'!G38</x:f>
        <x:v>29016435.40039063</x:v>
      </x:c>
      <x:c r="H11" s="74" t="n">
        <x:f>H9*'Assumptions'!H38</x:f>
        <x:v>36291024.51538087</x:v>
      </x:c>
      <x:c r="I11" s="74" t="n">
        <x:f>I9*'Assumptions'!I38</x:f>
        <x:v>43383748.90249634</x:v>
      </x:c>
      <x:c r="J11" s="74" t="n">
        <x:f>J9*'Assumptions'!J38</x:f>
        <x:v>50299155.17993393</x:v>
      </x:c>
      <x:c r="K11" s="74" t="n">
        <x:f>K9*'Assumptions'!K38</x:f>
        <x:v>57041676.30043558</x:v>
      </x:c>
      <x:c r="L11" s="74" t="n">
        <x:f>L9*'Assumptions'!L38</x:f>
        <x:v>63615634.39292468</x:v>
      </x:c>
      <x:c r="M11" s="74" t="n">
        <x:f>M9*'Assumptions'!M38</x:f>
        <x:v>70025243.53310156</x:v>
      </x:c>
      <x:c r="N11" s="74" t="n">
        <x:f>N9*'Assumptions'!N38</x:f>
        <x:v>76274612.44477402</x:v>
      </x:c>
      <x:c r="O11" s="74" t="n">
        <x:f>O9*'Assumptions'!O38</x:f>
        <x:v>82367747.13365468</x:v>
      </x:c>
      <x:c r="P11" s="74" t="n">
        <x:f>P9*'Assumptions'!P38</x:f>
        <x:v>88308553.45531332</x:v>
      </x:c>
      <x:c r="Q11" s="74" t="n">
        <x:f>Q9*'Assumptions'!Q38</x:f>
        <x:v>94100839.6189305</x:v>
      </x:c>
      <x:c r="R11" s="74" t="n">
        <x:f>R9*'Assumptions'!R38</x:f>
        <x:v>99748318.62845725</x:v>
      </x:c>
      <x:c r="S11" s="74" t="n">
        <x:f>S9*'Assumptions'!S38</x:f>
        <x:v>105254610.66274583</x:v>
      </x:c>
      <x:c r="T11" s="74" t="n">
        <x:f>T9*'Assumptions'!T38</x:f>
        <x:v>110623245.3961772</x:v>
      </x:c>
      <x:c r="U11" s="74" t="n">
        <x:f>U9*'Assumptions'!U38</x:f>
        <x:v>115857664.26127277</x:v>
      </x:c>
      <x:c r="V11" s="74" t="n">
        <x:f>V9*'Assumptions'!V38</x:f>
        <x:v>120961222.65474096</x:v>
      </x:c>
      <x:c r="W11" s="74" t="n">
        <x:f>W9*'Assumptions'!W38</x:f>
        <x:v>125937192.08837244</x:v>
      </x:c>
      <x:c r="X11" s="74" t="n">
        <x:f>X9*'Assumptions'!X38</x:f>
        <x:v>130788762.28616315</x:v>
      </x:c>
      <x:c r="Y11" s="74" t="n">
        <x:f>Y9*'Assumptions'!Y38</x:f>
        <x:v>135519043.22900906</x:v>
      </x:c>
      <x:c r="Z11" s="74" t="n">
        <x:f>Z9*'Assumptions'!Z38</x:f>
        <x:v>140131067.14828384</x:v>
      </x:c>
      <x:c r="AA11" s="74" t="n">
        <x:f>AA9*'Assumptions'!AA38</x:f>
        <x:v>144627790.46957675</x:v>
      </x:c>
      <x:c r="AB11" s="74" t="n">
        <x:f>AB9*'Assumptions'!AB38</x:f>
        <x:v>149012095.70783734</x:v>
      </x:c>
      <x:c r="AC11" s="74" t="n">
        <x:f>AC9*'Assumptions'!AC38</x:f>
        <x:v>153286793.3151414</x:v>
      </x:c>
      <x:c r="AD11" s="74" t="n">
        <x:f>AD9*'Assumptions'!AD38</x:f>
        <x:v>157454623.48226285</x:v>
      </x:c>
      <x:c r="AE11" s="74" t="n">
        <x:f>AE9*'Assumptions'!AE38</x:f>
        <x:v>161518257.89520624</x:v>
      </x:c>
      <x:c r="AF11" s="74" t="n">
        <x:f>AF9*'Assumptions'!AF38</x:f>
        <x:v>165480301.44782612</x:v>
      </x:c>
      <x:c r="AG11" s="74" t="n">
        <x:f>AG9*'Assumptions'!AG38</x:f>
        <x:v>169343293.91163048</x:v>
      </x:c>
      <x:c r="AH11" s="74" t="n">
        <x:f>AH9*'Assumptions'!AH38</x:f>
        <x:v>173109711.5638397</x:v>
      </x:c>
      <x:c r="AI11" s="74" t="n">
        <x:f>AI9*'Assumptions'!AI38</x:f>
        <x:v>176781968.77474374</x:v>
      </x:c>
      <x:c r="AJ11" s="74" t="n">
        <x:f>AJ9*'Assumptions'!AJ38</x:f>
        <x:v>180362419.55537516</x:v>
      </x:c>
      <x:c r="AK11" s="74" t="n">
        <x:f>AK9*'Assumptions'!AK38</x:f>
        <x:v>183853359.0664908</x:v>
      </x:c>
      <x:c r="AL11" s="74" t="n">
        <x:f>AL9*'Assumptions'!AL38</x:f>
        <x:v>187257025.08982852</x:v>
      </x:c>
    </x:row>
    <x:row r="12">
      <x:c r="A12" s="67" t="str">
        <x:v>Workflow Revenue</x:v>
      </x:c>
      <x:c r="B12" s="67" t="str"/>
      <x:c r="C12" s="74" t="n">
        <x:f>C9*'Assumptions'!C43*'Assumptions'!C48</x:f>
        <x:v>8775000</x:v>
      </x:c>
      <x:c r="D12" s="74" t="n">
        <x:f>D9*'Assumptions'!D43*'Assumptions'!D48</x:f>
        <x:v>8555625</x:v>
      </x:c>
      <x:c r="E12" s="74" t="n">
        <x:f>E9*'Assumptions'!E43*'Assumptions'!E48</x:f>
        <x:v>8341734.375</x:v>
      </x:c>
      <x:c r="F12" s="74" t="n">
        <x:f>F9*'Assumptions'!F43*'Assumptions'!F48</x:f>
        <x:v>12933191.015625</x:v>
      </x:c>
      <x:c r="G12" s="74" t="n">
        <x:f>G9*'Assumptions'!G43*'Assumptions'!G48</x:f>
        <x:v>17409861.240234375</x:v>
      </x:c>
      <x:c r="H12" s="74" t="n">
        <x:f>H9*'Assumptions'!H43*'Assumptions'!H48</x:f>
        <x:v>21774614.709228523</x:v>
      </x:c>
      <x:c r="I12" s="74" t="n">
        <x:f>I9*'Assumptions'!I43*'Assumptions'!I48</x:f>
        <x:v>26030249.3414978</x:v>
      </x:c>
      <x:c r="J12" s="74" t="n">
        <x:f>J9*'Assumptions'!J43*'Assumptions'!J48</x:f>
        <x:v>30179493.10796036</x:v>
      </x:c>
      <x:c r="K12" s="74" t="n">
        <x:f>K9*'Assumptions'!K43*'Assumptions'!K48</x:f>
        <x:v>34225005.780261345</x:v>
      </x:c>
      <x:c r="L12" s="74" t="n">
        <x:f>L9*'Assumptions'!L43*'Assumptions'!L48</x:f>
        <x:v>38169380.63575481</x:v>
      </x:c>
      <x:c r="M12" s="74" t="n">
        <x:f>M9*'Assumptions'!M43*'Assumptions'!M48</x:f>
        <x:v>42015146.11986093</x:v>
      </x:c>
      <x:c r="N12" s="74" t="n">
        <x:f>N9*'Assumptions'!N43*'Assumptions'!N48</x:f>
        <x:v>45764767.466864415</x:v>
      </x:c>
      <x:c r="O12" s="74" t="n">
        <x:f>O9*'Assumptions'!O43*'Assumptions'!O48</x:f>
        <x:v>49420648.280192815</x:v>
      </x:c>
      <x:c r="P12" s="74" t="n">
        <x:f>P9*'Assumptions'!P43*'Assumptions'!P48</x:f>
        <x:v>52985132.073188</x:v>
      </x:c>
      <x:c r="Q12" s="74" t="n">
        <x:f>Q9*'Assumptions'!Q43*'Assumptions'!Q48</x:f>
        <x:v>56460503.771358304</x:v>
      </x:c>
      <x:c r="R12" s="74" t="n">
        <x:f>R9*'Assumptions'!R43*'Assumptions'!R48</x:f>
        <x:v>59848991.17707435</x:v>
      </x:c>
      <x:c r="S12" s="74" t="n">
        <x:f>S9*'Assumptions'!S43*'Assumptions'!S48</x:f>
        <x:v>63152766.39764751</x:v>
      </x:c>
      <x:c r="T12" s="74" t="n">
        <x:f>T9*'Assumptions'!T43*'Assumptions'!T48</x:f>
        <x:v>66373947.23770632</x:v>
      </x:c>
      <x:c r="U12" s="74" t="n">
        <x:f>U9*'Assumptions'!U43*'Assumptions'!U48</x:f>
        <x:v>69514598.55676366</x:v>
      </x:c>
      <x:c r="V12" s="74" t="n">
        <x:f>V9*'Assumptions'!V43*'Assumptions'!V48</x:f>
        <x:v>72576733.59284458</x:v>
      </x:c>
      <x:c r="W12" s="74" t="n">
        <x:f>W9*'Assumptions'!W43*'Assumptions'!W48</x:f>
        <x:v>75562315.25302346</x:v>
      </x:c>
      <x:c r="X12" s="74" t="n">
        <x:f>X9*'Assumptions'!X43*'Assumptions'!X48</x:f>
        <x:v>78473257.37169789</x:v>
      </x:c>
      <x:c r="Y12" s="74" t="n">
        <x:f>Y9*'Assumptions'!Y43*'Assumptions'!Y48</x:f>
        <x:v>81311425.93740544</x:v>
      </x:c>
      <x:c r="Z12" s="74" t="n">
        <x:f>Z9*'Assumptions'!Z43*'Assumptions'!Z48</x:f>
        <x:v>84078640.2889703</x:v>
      </x:c>
      <x:c r="AA12" s="74" t="n">
        <x:f>AA9*'Assumptions'!AA43*'Assumptions'!AA48</x:f>
        <x:v>86776674.28174604</x:v>
      </x:c>
      <x:c r="AB12" s="74" t="n">
        <x:f>AB9*'Assumptions'!AB43*'Assumptions'!AB48</x:f>
        <x:v>89407257.42470239</x:v>
      </x:c>
      <x:c r="AC12" s="74" t="n">
        <x:f>AC9*'Assumptions'!AC43*'Assumptions'!AC48</x:f>
        <x:v>91972075.98908484</x:v>
      </x:c>
      <x:c r="AD12" s="74" t="n">
        <x:f>AD9*'Assumptions'!AD43*'Assumptions'!AD48</x:f>
        <x:v>94472774.08935772</x:v>
      </x:c>
      <x:c r="AE12" s="74" t="n">
        <x:f>AE9*'Assumptions'!AE43*'Assumptions'!AE48</x:f>
        <x:v>96910954.73712376</x:v>
      </x:c>
      <x:c r="AF12" s="74" t="n">
        <x:f>AF9*'Assumptions'!AF43*'Assumptions'!AF48</x:f>
        <x:v>99288180.86869568</x:v>
      </x:c>
      <x:c r="AG12" s="74" t="n">
        <x:f>AG9*'Assumptions'!AG43*'Assumptions'!AG48</x:f>
        <x:v>101605976.34697828</x:v>
      </x:c>
      <x:c r="AH12" s="74" t="n">
        <x:f>AH9*'Assumptions'!AH43*'Assumptions'!AH48</x:f>
        <x:v>103865826.93830383</x:v>
      </x:c>
      <x:c r="AI12" s="74" t="n">
        <x:f>AI9*'Assumptions'!AI43*'Assumptions'!AI48</x:f>
        <x:v>106069181.26484625</x:v>
      </x:c>
      <x:c r="AJ12" s="74" t="n">
        <x:f>AJ9*'Assumptions'!AJ43*'Assumptions'!AJ48</x:f>
        <x:v>108217451.7332251</x:v>
      </x:c>
      <x:c r="AK12" s="74" t="n">
        <x:f>AK9*'Assumptions'!AK43*'Assumptions'!AK48</x:f>
        <x:v>110312015.43989447</x:v>
      </x:c>
      <x:c r="AL12" s="74" t="n">
        <x:f>AL9*'Assumptions'!AL43*'Assumptions'!AL48</x:f>
        <x:v>112354215.05389711</x:v>
      </x:c>
    </x:row>
    <x:row r="13">
      <x:c r="A13" s="67" t="str">
        <x:v>Other Usage or Outcome Revenue</x:v>
      </x:c>
      <x:c r="B13" s="67" t="str"/>
      <x:c r="C13" s="74" t="n">
        <x:f>C9*'Assumptions'!C53</x:f>
        <x:v>1462500</x:v>
      </x:c>
      <x:c r="D13" s="74" t="n">
        <x:f>D9*'Assumptions'!D53</x:f>
        <x:v>1425937.4999999998</x:v>
      </x:c>
      <x:c r="E13" s="74" t="n">
        <x:f>E9*'Assumptions'!E53</x:f>
        <x:v>1390289.0625</x:v>
      </x:c>
      <x:c r="F13" s="74" t="n">
        <x:f>F9*'Assumptions'!F53</x:f>
        <x:v>2155531.8359375</x:v>
      </x:c>
      <x:c r="G13" s="74" t="n">
        <x:f>G9*'Assumptions'!G53</x:f>
        <x:v>2901643.540039063</x:v>
      </x:c>
      <x:c r="H13" s="74" t="n">
        <x:f>H9*'Assumptions'!H53</x:f>
        <x:v>3629102.4515380864</x:v>
      </x:c>
      <x:c r="I13" s="74" t="n">
        <x:f>I9*'Assumptions'!I53</x:f>
        <x:v>4338374.890249634</x:v>
      </x:c>
      <x:c r="J13" s="74" t="n">
        <x:f>J9*'Assumptions'!J53</x:f>
        <x:v>5029915.517993393</x:v>
      </x:c>
      <x:c r="K13" s="74" t="n">
        <x:f>K9*'Assumptions'!K53</x:f>
        <x:v>5704167.630043558</x:v>
      </x:c>
      <x:c r="L13" s="74" t="n">
        <x:f>L9*'Assumptions'!L53</x:f>
        <x:v>6361563.439292468</x:v>
      </x:c>
      <x:c r="M13" s="74" t="n">
        <x:f>M9*'Assumptions'!M53</x:f>
        <x:v>7002524.353310157</x:v>
      </x:c>
      <x:c r="N13" s="74" t="n">
        <x:f>N9*'Assumptions'!N53</x:f>
        <x:v>7627461.244477402</x:v>
      </x:c>
      <x:c r="O13" s="74" t="n">
        <x:f>O9*'Assumptions'!O53</x:f>
        <x:v>8236774.713365468</x:v>
      </x:c>
      <x:c r="P13" s="74" t="n">
        <x:f>P9*'Assumptions'!P53</x:f>
        <x:v>8830855.345531333</x:v>
      </x:c>
      <x:c r="Q13" s="74" t="n">
        <x:f>Q9*'Assumptions'!Q53</x:f>
        <x:v>9410083.96189305</x:v>
      </x:c>
      <x:c r="R13" s="74" t="n">
        <x:f>R9*'Assumptions'!R53</x:f>
        <x:v>9974831.862845726</x:v>
      </x:c>
      <x:c r="S13" s="74" t="n">
        <x:f>S9*'Assumptions'!S53</x:f>
        <x:v>10525461.066274583</x:v>
      </x:c>
      <x:c r="T13" s="74" t="n">
        <x:f>T9*'Assumptions'!T53</x:f>
        <x:v>11062324.53961772</x:v>
      </x:c>
      <x:c r="U13" s="74" t="n">
        <x:f>U9*'Assumptions'!U53</x:f>
        <x:v>11585766.426127277</x:v>
      </x:c>
      <x:c r="V13" s="74" t="n">
        <x:f>V9*'Assumptions'!V53</x:f>
        <x:v>12096122.265474096</x:v>
      </x:c>
      <x:c r="W13" s="74" t="n">
        <x:f>W9*'Assumptions'!W53</x:f>
        <x:v>12593719.208837245</x:v>
      </x:c>
      <x:c r="X13" s="74" t="n">
        <x:f>X9*'Assumptions'!X53</x:f>
        <x:v>13078876.228616314</x:v>
      </x:c>
      <x:c r="Y13" s="74" t="n">
        <x:f>Y9*'Assumptions'!Y53</x:f>
        <x:v>13551904.322900906</x:v>
      </x:c>
      <x:c r="Z13" s="74" t="n">
        <x:f>Z9*'Assumptions'!Z53</x:f>
        <x:v>14013106.714828383</x:v>
      </x:c>
      <x:c r="AA13" s="74" t="n">
        <x:f>AA9*'Assumptions'!AA53</x:f>
        <x:v>14462779.046957675</x:v>
      </x:c>
      <x:c r="AB13" s="74" t="n">
        <x:f>AB9*'Assumptions'!AB53</x:f>
        <x:v>14901209.570783732</x:v>
      </x:c>
      <x:c r="AC13" s="74" t="n">
        <x:f>AC9*'Assumptions'!AC53</x:f>
        <x:v>15328679.33151414</x:v>
      </x:c>
      <x:c r="AD13" s="74" t="n">
        <x:f>AD9*'Assumptions'!AD53</x:f>
        <x:v>15745462.348226285</x:v>
      </x:c>
      <x:c r="AE13" s="74" t="n">
        <x:f>AE9*'Assumptions'!AE53</x:f>
        <x:v>16151825.789520625</x:v>
      </x:c>
      <x:c r="AF13" s="74" t="n">
        <x:f>AF9*'Assumptions'!AF53</x:f>
        <x:v>16548030.144782612</x:v>
      </x:c>
      <x:c r="AG13" s="74" t="n">
        <x:f>AG9*'Assumptions'!AG53</x:f>
        <x:v>16934329.391163047</x:v>
      </x:c>
      <x:c r="AH13" s="74" t="n">
        <x:f>AH9*'Assumptions'!AH53</x:f>
        <x:v>17310971.156383973</x:v>
      </x:c>
      <x:c r="AI13" s="74" t="n">
        <x:f>AI9*'Assumptions'!AI53</x:f>
        <x:v>17678196.877474375</x:v>
      </x:c>
      <x:c r="AJ13" s="74" t="n">
        <x:f>AJ9*'Assumptions'!AJ53</x:f>
        <x:v>18036241.955537517</x:v>
      </x:c>
      <x:c r="AK13" s="74" t="n">
        <x:f>AK9*'Assumptions'!AK53</x:f>
        <x:v>18385335.90664908</x:v>
      </x:c>
      <x:c r="AL13" s="74" t="n">
        <x:f>AL9*'Assumptions'!AL53</x:f>
        <x:v>18725702.508982852</x:v>
      </x:c>
    </x:row>
    <x:row r="14">
      <x:c r="A14" s="67" t="str">
        <x:v>Total Revenue</x:v>
      </x:c>
      <x:c r="B14" s="67" t="str"/>
      <x:c r="C14" s="77" t="n">
        <x:f>SUM(C11:C13)</x:f>
        <x:v>24862500</x:v>
      </x:c>
      <x:c r="D14" s="77" t="n">
        <x:f>SUM(D11:D13)</x:f>
        <x:v>24240937.5</x:v>
      </x:c>
      <x:c r="E14" s="77" t="n">
        <x:f>SUM(E11:E13)</x:f>
        <x:v>23634914.0625</x:v>
      </x:c>
      <x:c r="F14" s="77" t="n">
        <x:f>SUM(F11:F13)</x:f>
        <x:v>36644041.2109375</x:v>
      </x:c>
      <x:c r="G14" s="77" t="n">
        <x:f>SUM(G11:G13)</x:f>
        <x:v>49327940.18066406</x:v>
      </x:c>
      <x:c r="H14" s="77" t="n">
        <x:f>SUM(H11:H13)</x:f>
        <x:v>61694741.676147476</x:v>
      </x:c>
      <x:c r="I14" s="77" t="n">
        <x:f>SUM(I11:I13)</x:f>
        <x:v>73752373.13424379</x:v>
      </x:c>
      <x:c r="J14" s="77" t="n">
        <x:f>SUM(J11:J13)</x:f>
        <x:v>85508563.80588767</x:v>
      </x:c>
      <x:c r="K14" s="77" t="n">
        <x:f>SUM(K11:K13)</x:f>
        <x:v>96970849.71074048</x:v>
      </x:c>
      <x:c r="L14" s="77" t="n">
        <x:f>SUM(L11:L13)</x:f>
        <x:v>108146578.46797195</x:v>
      </x:c>
      <x:c r="M14" s="77" t="n">
        <x:f>SUM(M11:M13)</x:f>
        <x:v>119042914.00627264</x:v>
      </x:c>
      <x:c r="N14" s="77" t="n">
        <x:f>SUM(N11:N13)</x:f>
        <x:v>129666841.15611584</x:v>
      </x:c>
      <x:c r="O14" s="77" t="n">
        <x:f>SUM(O11:O13)</x:f>
        <x:v>140025170.12721297</x:v>
      </x:c>
      <x:c r="P14" s="77" t="n">
        <x:f>SUM(P11:P13)</x:f>
        <x:v>150124540.87403268</x:v>
      </x:c>
      <x:c r="Q14" s="77" t="n">
        <x:f>SUM(Q11:Q13)</x:f>
        <x:v>159971427.35218185</x:v>
      </x:c>
      <x:c r="R14" s="77" t="n">
        <x:f>SUM(R11:R13)</x:f>
        <x:v>169572141.6683773</x:v>
      </x:c>
      <x:c r="S14" s="77" t="n">
        <x:f>SUM(S11:S13)</x:f>
        <x:v>178932838.12666792</x:v>
      </x:c>
      <x:c r="T14" s="77" t="n">
        <x:f>SUM(T11:T13)</x:f>
        <x:v>188059517.17350125</x:v>
      </x:c>
      <x:c r="U14" s="77" t="n">
        <x:f>SUM(U11:U13)</x:f>
        <x:v>196958029.24416372</x:v>
      </x:c>
      <x:c r="V14" s="77" t="n">
        <x:f>SUM(V11:V13)</x:f>
        <x:v>205634078.51305962</x:v>
      </x:c>
      <x:c r="W14" s="77" t="n">
        <x:f>SUM(W11:W13)</x:f>
        <x:v>214093226.55023316</x:v>
      </x:c>
      <x:c r="X14" s="77" t="n">
        <x:f>SUM(X11:X13)</x:f>
        <x:v>222340895.88647738</x:v>
      </x:c>
      <x:c r="Y14" s="77" t="n">
        <x:f>SUM(Y11:Y13)</x:f>
        <x:v>230382373.4893154</x:v>
      </x:c>
      <x:c r="Z14" s="77" t="n">
        <x:f>SUM(Z11:Z13)</x:f>
        <x:v>238222814.1520825</x:v>
      </x:c>
      <x:c r="AA14" s="77" t="n">
        <x:f>SUM(AA11:AA13)</x:f>
        <x:v>245867243.79828048</x:v>
      </x:c>
      <x:c r="AB14" s="77" t="n">
        <x:f>SUM(AB11:AB13)</x:f>
        <x:v>253320562.70332348</x:v>
      </x:c>
      <x:c r="AC14" s="77" t="n">
        <x:f>SUM(AC11:AC13)</x:f>
        <x:v>260587548.6357404</x:v>
      </x:c>
      <x:c r="AD14" s="77" t="n">
        <x:f>SUM(AD11:AD13)</x:f>
        <x:v>267672859.91984686</x:v>
      </x:c>
      <x:c r="AE14" s="77" t="n">
        <x:f>SUM(AE11:AE13)</x:f>
        <x:v>274581038.4218506</x:v>
      </x:c>
      <x:c r="AF14" s="77" t="n">
        <x:f>SUM(AF11:AF13)</x:f>
        <x:v>281316512.4613044</x:v>
      </x:c>
      <x:c r="AG14" s="77" t="n">
        <x:f>SUM(AG11:AG13)</x:f>
        <x:v>287883599.6497718</x:v>
      </x:c>
      <x:c r="AH14" s="77" t="n">
        <x:f>SUM(AH11:AH13)</x:f>
        <x:v>294286509.6585275</x:v>
      </x:c>
      <x:c r="AI14" s="77" t="n">
        <x:f>SUM(AI11:AI13)</x:f>
        <x:v>300529346.91706437</x:v>
      </x:c>
      <x:c r="AJ14" s="77" t="n">
        <x:f>SUM(AJ11:AJ13)</x:f>
        <x:v>306616113.24413776</x:v>
      </x:c>
      <x:c r="AK14" s="77" t="n">
        <x:f>SUM(AK11:AK13)</x:f>
        <x:v>312550710.4130343</x:v>
      </x:c>
      <x:c r="AL14" s="77" t="n">
        <x:f>SUM(AL11:AL13)</x:f>
        <x:v>318336942.6527085</x:v>
      </x:c>
    </x:row>
    <x:row r="15">
      <x:c r="A15" s="67" t="str"/>
      <x:c r="B15" s="67" t="str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74"/>
      <x:c r="Q15" s="74"/>
      <x:c r="R15" s="74"/>
      <x:c r="S15" s="74"/>
      <x:c r="T15" s="74"/>
      <x:c r="U15" s="74"/>
      <x:c r="V15" s="74"/>
      <x:c r="W15" s="74"/>
      <x:c r="X15" s="74"/>
      <x:c r="Y15" s="74"/>
      <x:c r="Z15" s="74"/>
      <x:c r="AA15" s="74"/>
      <x:c r="AB15" s="74"/>
      <x:c r="AC15" s="74"/>
      <x:c r="AD15" s="74"/>
      <x:c r="AE15" s="74"/>
      <x:c r="AF15" s="74"/>
      <x:c r="AG15" s="74"/>
      <x:c r="AH15" s="74"/>
      <x:c r="AI15" s="74"/>
      <x:c r="AJ15" s="74"/>
      <x:c r="AK15" s="74"/>
      <x:c r="AL15" s="74"/>
    </x:row>
    <x:row r="16">
      <x:c r="A16" s="66" t="str">
        <x:v>API Input Cost</x:v>
      </x:c>
      <x:c r="B16" s="66" t="str"/>
      <x:c r="C16" s="74" t="n">
        <x:f>C9*'Assumptions'!C43*'Assumptions'!C58/1000000*'Assumptions'!$D$13*'Assumptions'!$D$12</x:f>
        <x:v>16145.999999999998</x:v>
      </x:c>
      <x:c r="D16" s="74" t="n">
        <x:f>D9*'Assumptions'!D43*'Assumptions'!D58/1000000*'Assumptions'!$D$13*'Assumptions'!$D$12</x:f>
        <x:v>15742.349999999999</x:v>
      </x:c>
      <x:c r="E16" s="74" t="n">
        <x:f>E9*'Assumptions'!E43*'Assumptions'!E58/1000000*'Assumptions'!$D$13*'Assumptions'!$D$12</x:f>
        <x:v>15348.79125</x:v>
      </x:c>
      <x:c r="F16" s="74" t="n">
        <x:f>F9*'Assumptions'!F43*'Assumptions'!F58/1000000*'Assumptions'!$D$13*'Assumptions'!$D$12</x:f>
        <x:v>23797.07146875</x:v>
      </x:c>
      <x:c r="G16" s="74" t="n">
        <x:f>G9*'Assumptions'!G43*'Assumptions'!G58/1000000*'Assumptions'!$D$13*'Assumptions'!$D$12</x:f>
        <x:v>32034.14468203125</x:v>
      </x:c>
      <x:c r="H16" s="74" t="n">
        <x:f>H9*'Assumptions'!H43*'Assumptions'!H58/1000000*'Assumptions'!$D$13*'Assumptions'!$D$12</x:f>
        <x:v>40065.29106498048</x:v>
      </x:c>
      <x:c r="I16" s="74" t="n">
        <x:f>I9*'Assumptions'!I43*'Assumptions'!I58/1000000*'Assumptions'!$D$13*'Assumptions'!$D$12</x:f>
        <x:v>47895.65878835595</x:v>
      </x:c>
      <x:c r="J16" s="74" t="n">
        <x:f>J9*'Assumptions'!J43*'Assumptions'!J58/1000000*'Assumptions'!$D$13*'Assumptions'!$D$12</x:f>
        <x:v>55530.26731864706</x:v>
      </x:c>
      <x:c r="K16" s="74" t="n">
        <x:f>K9*'Assumptions'!K43*'Assumptions'!K58/1000000*'Assumptions'!$D$13*'Assumptions'!$D$12</x:f>
        <x:v>62974.010635680876</x:v>
      </x:c>
      <x:c r="L16" s="74" t="n">
        <x:f>L9*'Assumptions'!L43*'Assumptions'!L58/1000000*'Assumptions'!$D$13*'Assumptions'!$D$12</x:f>
        <x:v>70231.66036978885</x:v>
      </x:c>
      <x:c r="M16" s="74" t="n">
        <x:f>M9*'Assumptions'!M43*'Assumptions'!M58/1000000*'Assumptions'!$D$13*'Assumptions'!$D$12</x:f>
        <x:v>77307.86886054411</x:v>
      </x:c>
      <x:c r="N16" s="74" t="n">
        <x:f>N9*'Assumptions'!N43*'Assumptions'!N58/1000000*'Assumptions'!$D$13*'Assumptions'!$D$12</x:f>
        <x:v>84207.17213903052</x:v>
      </x:c>
      <x:c r="O16" s="74" t="n">
        <x:f>O9*'Assumptions'!O43*'Assumptions'!O58/1000000*'Assumptions'!$D$13*'Assumptions'!$D$12</x:f>
        <x:v>90933.99283555477</x:v>
      </x:c>
      <x:c r="P16" s="74" t="n">
        <x:f>P9*'Assumptions'!P43*'Assumptions'!P58/1000000*'Assumptions'!$D$13*'Assumptions'!$D$12</x:f>
        <x:v>97492.64301466591</x:v>
      </x:c>
      <x:c r="Q16" s="74" t="n">
        <x:f>Q9*'Assumptions'!Q43*'Assumptions'!Q58/1000000*'Assumptions'!$D$13*'Assumptions'!$D$12</x:f>
        <x:v>103887.32693929928</x:v>
      </x:c>
      <x:c r="R16" s="74" t="n">
        <x:f>R9*'Assumptions'!R43*'Assumptions'!R58/1000000*'Assumptions'!$D$13*'Assumptions'!$D$12</x:f>
        <x:v>110122.14376581681</x:v>
      </x:c>
      <x:c r="S16" s="74" t="n">
        <x:f>S9*'Assumptions'!S43*'Assumptions'!S58/1000000*'Assumptions'!$D$13*'Assumptions'!$D$12</x:f>
        <x:v>116201.09017167143</x:v>
      </x:c>
      <x:c r="T16" s="74" t="n">
        <x:f>T9*'Assumptions'!T43*'Assumptions'!T58/1000000*'Assumptions'!$D$13*'Assumptions'!$D$12</x:f>
        <x:v>122128.06291737962</x:v>
      </x:c>
      <x:c r="U16" s="74" t="n">
        <x:f>U9*'Assumptions'!U43*'Assumptions'!U58/1000000*'Assumptions'!$D$13*'Assumptions'!$D$12</x:f>
        <x:v>127906.86134444513</x:v>
      </x:c>
      <x:c r="V16" s="74" t="n">
        <x:f>V9*'Assumptions'!V43*'Assumptions'!V58/1000000*'Assumptions'!$D$13*'Assumptions'!$D$12</x:f>
        <x:v>133541.189810834</x:v>
      </x:c>
      <x:c r="W16" s="74" t="n">
        <x:f>W9*'Assumptions'!W43*'Assumptions'!W58/1000000*'Assumptions'!$D$13*'Assumptions'!$D$12</x:f>
        <x:v>139034.6600655632</x:v>
      </x:c>
      <x:c r="X16" s="74" t="n">
        <x:f>X9*'Assumptions'!X43*'Assumptions'!X58/1000000*'Assumptions'!$D$13*'Assumptions'!$D$12</x:f>
        <x:v>144390.79356392412</x:v>
      </x:c>
      <x:c r="Y16" s="74" t="n">
        <x:f>Y9*'Assumptions'!Y43*'Assumptions'!Y58/1000000*'Assumptions'!$D$13*'Assumptions'!$D$12</x:f>
        <x:v>149613.023724826</x:v>
      </x:c>
      <x:c r="Z16" s="74" t="n">
        <x:f>Z9*'Assumptions'!Z43*'Assumptions'!Z58/1000000*'Assumptions'!$D$13*'Assumptions'!$D$12</x:f>
        <x:v>154704.69813170537</x:v>
      </x:c>
      <x:c r="AA16" s="74" t="n">
        <x:f>AA9*'Assumptions'!AA43*'Assumptions'!AA58/1000000*'Assumptions'!$D$13*'Assumptions'!$D$12</x:f>
        <x:v>159669.08067841275</x:v>
      </x:c>
      <x:c r="AB16" s="74" t="n">
        <x:f>AB9*'Assumptions'!AB43*'Assumptions'!AB58/1000000*'Assumptions'!$D$13*'Assumptions'!$D$12</x:f>
        <x:v>164509.35366145242</x:v>
      </x:c>
      <x:c r="AC16" s="74" t="n">
        <x:f>AC9*'Assumptions'!AC43*'Assumptions'!AC58/1000000*'Assumptions'!$D$13*'Assumptions'!$D$12</x:f>
        <x:v>169228.61981991612</x:v>
      </x:c>
      <x:c r="AD16" s="74" t="n">
        <x:f>AD9*'Assumptions'!AD43*'Assumptions'!AD58/1000000*'Assumptions'!$D$13*'Assumptions'!$D$12</x:f>
        <x:v>173829.9043244182</x:v>
      </x:c>
      <x:c r="AE16" s="74" t="n">
        <x:f>AE9*'Assumptions'!AE43*'Assumptions'!AE58/1000000*'Assumptions'!$D$13*'Assumptions'!$D$12</x:f>
        <x:v>178316.1567163077</x:v>
      </x:c>
      <x:c r="AF16" s="74" t="n">
        <x:f>AF9*'Assumptions'!AF43*'Assumptions'!AF58/1000000*'Assumptions'!$D$13*'Assumptions'!$D$12</x:f>
        <x:v>182690.25279840003</x:v>
      </x:c>
      <x:c r="AG16" s="74" t="n">
        <x:f>AG9*'Assumptions'!AG43*'Assumptions'!AG58/1000000*'Assumptions'!$D$13*'Assumptions'!$D$12</x:f>
        <x:v>186954.99647844004</x:v>
      </x:c>
      <x:c r="AH16" s="74" t="n">
        <x:f>AH9*'Assumptions'!AH43*'Assumptions'!AH58/1000000*'Assumptions'!$D$13*'Assumptions'!$D$12</x:f>
        <x:v>191113.12156647904</x:v>
      </x:c>
      <x:c r="AI16" s="74" t="n">
        <x:f>AI9*'Assumptions'!AI43*'Assumptions'!AI58/1000000*'Assumptions'!$D$13*'Assumptions'!$D$12</x:f>
        <x:v>195167.2935273171</x:v>
      </x:c>
      <x:c r="AJ16" s="74" t="n">
        <x:f>AJ9*'Assumptions'!AJ43*'Assumptions'!AJ58/1000000*'Assumptions'!$D$13*'Assumptions'!$D$12</x:f>
        <x:v>199120.1111891342</x:v>
      </x:c>
      <x:c r="AK16" s="74" t="n">
        <x:f>AK9*'Assumptions'!AK43*'Assumptions'!AK58/1000000*'Assumptions'!$D$13*'Assumptions'!$D$12</x:f>
        <x:v>202974.10840940583</x:v>
      </x:c>
      <x:c r="AL16" s="74" t="n">
        <x:f>AL9*'Assumptions'!AL43*'Assumptions'!AL58/1000000*'Assumptions'!$D$13*'Assumptions'!$D$12</x:f>
        <x:v>206731.7556991707</x:v>
      </x:c>
    </x:row>
    <x:row r="17">
      <x:c r="A17" s="67" t="str">
        <x:v>API Output Cost</x:v>
      </x:c>
      <x:c r="B17" s="67" t="str"/>
      <x:c r="C17" s="74" t="n">
        <x:f>C9*'Assumptions'!C43*'Assumptions'!C63/1000000*'Assumptions'!$D$14*'Assumptions'!$D$12</x:f>
        <x:v>19375.199999999997</x:v>
      </x:c>
      <x:c r="D17" s="74" t="n">
        <x:f>D9*'Assumptions'!D43*'Assumptions'!D63/1000000*'Assumptions'!$D$14*'Assumptions'!$D$12</x:f>
        <x:v>18890.82</x:v>
      </x:c>
      <x:c r="E17" s="74" t="n">
        <x:f>E9*'Assumptions'!E43*'Assumptions'!E63/1000000*'Assumptions'!$D$14*'Assumptions'!$D$12</x:f>
        <x:v>18418.5495</x:v>
      </x:c>
      <x:c r="F17" s="74" t="n">
        <x:f>F9*'Assumptions'!F43*'Assumptions'!F63/1000000*'Assumptions'!$D$14*'Assumptions'!$D$12</x:f>
        <x:v>28556.4857625</x:v>
      </x:c>
      <x:c r="G17" s="74" t="n">
        <x:f>G9*'Assumptions'!G43*'Assumptions'!G63/1000000*'Assumptions'!$D$14*'Assumptions'!$D$12</x:f>
        <x:v>38440.97361843751</x:v>
      </x:c>
      <x:c r="H17" s="74" t="n">
        <x:f>H9*'Assumptions'!H43*'Assumptions'!H63/1000000*'Assumptions'!$D$14*'Assumptions'!$D$12</x:f>
        <x:v>48078.34927797657</x:v>
      </x:c>
      <x:c r="I17" s="74" t="n">
        <x:f>I9*'Assumptions'!I43*'Assumptions'!I63/1000000*'Assumptions'!$D$14*'Assumptions'!$D$12</x:f>
        <x:v>57474.79054602715</x:v>
      </x:c>
      <x:c r="J17" s="74" t="n">
        <x:f>J9*'Assumptions'!J43*'Assumptions'!J63/1000000*'Assumptions'!$D$14*'Assumptions'!$D$12</x:f>
        <x:v>66636.3207823765</x:v>
      </x:c>
      <x:c r="K17" s="74" t="n">
        <x:f>K9*'Assumptions'!K43*'Assumptions'!K63/1000000*'Assumptions'!$D$14*'Assumptions'!$D$12</x:f>
        <x:v>75568.81276281705</x:v>
      </x:c>
      <x:c r="L17" s="74" t="n">
        <x:f>L9*'Assumptions'!L43*'Assumptions'!L63/1000000*'Assumptions'!$D$14*'Assumptions'!$D$12</x:f>
        <x:v>84277.99244374663</x:v>
      </x:c>
      <x:c r="M17" s="74" t="n">
        <x:f>M9*'Assumptions'!M43*'Assumptions'!M63/1000000*'Assumptions'!$D$14*'Assumptions'!$D$12</x:f>
        <x:v>92769.44263265296</x:v>
      </x:c>
      <x:c r="N17" s="74" t="n">
        <x:f>N9*'Assumptions'!N43*'Assumptions'!N63/1000000*'Assumptions'!$D$14*'Assumptions'!$D$12</x:f>
        <x:v>101048.60656683664</x:v>
      </x:c>
      <x:c r="O17" s="74" t="n">
        <x:f>O9*'Assumptions'!O43*'Assumptions'!O63/1000000*'Assumptions'!$D$14*'Assumptions'!$D$12</x:f>
        <x:v>109120.79140266574</x:v>
      </x:c>
      <x:c r="P17" s="74" t="n">
        <x:f>P9*'Assumptions'!P43*'Assumptions'!P63/1000000*'Assumptions'!$D$14*'Assumptions'!$D$12</x:f>
        <x:v>116991.1716175991</x:v>
      </x:c>
      <x:c r="Q17" s="74" t="n">
        <x:f>Q9*'Assumptions'!Q43*'Assumptions'!Q63/1000000*'Assumptions'!$D$14*'Assumptions'!$D$12</x:f>
        <x:v>124664.79232715914</x:v>
      </x:c>
      <x:c r="R17" s="74" t="n">
        <x:f>R9*'Assumptions'!R43*'Assumptions'!R63/1000000*'Assumptions'!$D$14*'Assumptions'!$D$12</x:f>
        <x:v>132146.57251898016</x:v>
      </x:c>
      <x:c r="S17" s="74" t="n">
        <x:f>S9*'Assumptions'!S43*'Assumptions'!S63/1000000*'Assumptions'!$D$14*'Assumptions'!$D$12</x:f>
        <x:v>139441.3082060057</x:v>
      </x:c>
      <x:c r="T17" s="74" t="n">
        <x:f>T9*'Assumptions'!T43*'Assumptions'!T63/1000000*'Assumptions'!$D$14*'Assumptions'!$D$12</x:f>
        <x:v>146553.67550085555</x:v>
      </x:c>
      <x:c r="U17" s="74" t="n">
        <x:f>U9*'Assumptions'!U43*'Assumptions'!U63/1000000*'Assumptions'!$D$14*'Assumptions'!$D$12</x:f>
        <x:v>153488.2336133342</x:v>
      </x:c>
      <x:c r="V17" s="74" t="n">
        <x:f>V9*'Assumptions'!V43*'Assumptions'!V63/1000000*'Assumptions'!$D$14*'Assumptions'!$D$12</x:f>
        <x:v>160249.42777300082</x:v>
      </x:c>
      <x:c r="W17" s="74" t="n">
        <x:f>W9*'Assumptions'!W43*'Assumptions'!W63/1000000*'Assumptions'!$D$14*'Assumptions'!$D$12</x:f>
        <x:v>166841.5920786758</x:v>
      </x:c>
      <x:c r="X17" s="74" t="n">
        <x:f>X9*'Assumptions'!X43*'Assumptions'!X63/1000000*'Assumptions'!$D$14*'Assumptions'!$D$12</x:f>
        <x:v>173268.9522767089</x:v>
      </x:c>
      <x:c r="Y17" s="74" t="n">
        <x:f>Y9*'Assumptions'!Y43*'Assumptions'!Y63/1000000*'Assumptions'!$D$14*'Assumptions'!$D$12</x:f>
        <x:v>179535.62846979123</x:v>
      </x:c>
      <x:c r="Z17" s="74" t="n">
        <x:f>Z9*'Assumptions'!Z43*'Assumptions'!Z63/1000000*'Assumptions'!$D$14*'Assumptions'!$D$12</x:f>
        <x:v>185645.63775804645</x:v>
      </x:c>
      <x:c r="AA17" s="74" t="n">
        <x:f>AA9*'Assumptions'!AA43*'Assumptions'!AA63/1000000*'Assumptions'!$D$14*'Assumptions'!$D$12</x:f>
        <x:v>191602.89681409526</x:v>
      </x:c>
      <x:c r="AB17" s="74" t="n">
        <x:f>AB9*'Assumptions'!AB43*'Assumptions'!AB63/1000000*'Assumptions'!$D$14*'Assumptions'!$D$12</x:f>
        <x:v>197411.22439374292</x:v>
      </x:c>
      <x:c r="AC17" s="74" t="n">
        <x:f>AC9*'Assumptions'!AC43*'Assumptions'!AC63/1000000*'Assumptions'!$D$14*'Assumptions'!$D$12</x:f>
        <x:v>203074.34378389933</x:v>
      </x:c>
      <x:c r="AD17" s="74" t="n">
        <x:f>AD9*'Assumptions'!AD43*'Assumptions'!AD63/1000000*'Assumptions'!$D$14*'Assumptions'!$D$12</x:f>
        <x:v>208595.8851893018</x:v>
      </x:c>
      <x:c r="AE17" s="74" t="n">
        <x:f>AE9*'Assumptions'!AE43*'Assumptions'!AE63/1000000*'Assumptions'!$D$14*'Assumptions'!$D$12</x:f>
        <x:v>213979.3880595693</x:v>
      </x:c>
      <x:c r="AF17" s="74" t="n">
        <x:f>AF9*'Assumptions'!AF43*'Assumptions'!AF63/1000000*'Assumptions'!$D$14*'Assumptions'!$D$12</x:f>
        <x:v>219228.30335808</x:v>
      </x:c>
      <x:c r="AG17" s="74" t="n">
        <x:f>AG9*'Assumptions'!AG43*'Assumptions'!AG63/1000000*'Assumptions'!$D$14*'Assumptions'!$D$12</x:f>
        <x:v>224345.99577412807</x:v>
      </x:c>
      <x:c r="AH17" s="74" t="n">
        <x:f>AH9*'Assumptions'!AH43*'Assumptions'!AH63/1000000*'Assumptions'!$D$14*'Assumptions'!$D$12</x:f>
        <x:v>229335.74587977488</x:v>
      </x:c>
      <x:c r="AI17" s="74" t="n">
        <x:f>AI9*'Assumptions'!AI43*'Assumptions'!AI63/1000000*'Assumptions'!$D$14*'Assumptions'!$D$12</x:f>
        <x:v>234200.75223278053</x:v>
      </x:c>
      <x:c r="AJ17" s="74" t="n">
        <x:f>AJ9*'Assumptions'!AJ43*'Assumptions'!AJ63/1000000*'Assumptions'!$D$14*'Assumptions'!$D$12</x:f>
        <x:v>238944.13342696102</x:v>
      </x:c>
      <x:c r="AK17" s="74" t="n">
        <x:f>AK9*'Assumptions'!AK43*'Assumptions'!AK63/1000000*'Assumptions'!$D$14*'Assumptions'!$D$12</x:f>
        <x:v>243568.93009128698</x:v>
      </x:c>
      <x:c r="AL17" s="74" t="n">
        <x:f>AL9*'Assumptions'!AL43*'Assumptions'!AL63/1000000*'Assumptions'!$D$14*'Assumptions'!$D$12</x:f>
        <x:v>248078.10683900482</x:v>
      </x:c>
    </x:row>
    <x:row r="18">
      <x:c r="A18" s="67" t="str">
        <x:v>Human Review Cost</x:v>
      </x:c>
      <x:c r="B18" s="67" t="str"/>
      <x:c r="C18" s="74" t="n">
        <x:f>C9*'Assumptions'!C43*'Assumptions'!C68</x:f>
        <x:v>2047500</x:v>
      </x:c>
      <x:c r="D18" s="74" t="n">
        <x:f>D9*'Assumptions'!D43*'Assumptions'!D68</x:f>
        <x:v>1996312.4999999998</x:v>
      </x:c>
      <x:c r="E18" s="74" t="n">
        <x:f>E9*'Assumptions'!E43*'Assumptions'!E68</x:f>
        <x:v>1946404.6875</x:v>
      </x:c>
      <x:c r="F18" s="74" t="n">
        <x:f>F9*'Assumptions'!F43*'Assumptions'!F68</x:f>
        <x:v>3017744.5703125</x:v>
      </x:c>
      <x:c r="G18" s="74" t="n">
        <x:f>G9*'Assumptions'!G43*'Assumptions'!G68</x:f>
        <x:v>4062300.956054688</x:v>
      </x:c>
      <x:c r="H18" s="74" t="n">
        <x:f>H9*'Assumptions'!H43*'Assumptions'!H68</x:f>
        <x:v>5080743.432153322</x:v>
      </x:c>
      <x:c r="I18" s="74" t="n">
        <x:f>I9*'Assumptions'!I43*'Assumptions'!I68</x:f>
        <x:v>6073724.846349487</x:v>
      </x:c>
      <x:c r="J18" s="74" t="n">
        <x:f>J9*'Assumptions'!J43*'Assumptions'!J68</x:f>
        <x:v>7041881.72519075</x:v>
      </x:c>
      <x:c r="K18" s="74" t="n">
        <x:f>K9*'Assumptions'!K43*'Assumptions'!K68</x:f>
        <x:v>7985834.68206098</x:v>
      </x:c>
      <x:c r="L18" s="74" t="n">
        <x:f>L9*'Assumptions'!L43*'Assumptions'!L68</x:f>
        <x:v>8906188.815009456</x:v>
      </x:c>
      <x:c r="M18" s="74" t="n">
        <x:f>M9*'Assumptions'!M43*'Assumptions'!M68</x:f>
        <x:v>9803534.094634218</x:v>
      </x:c>
      <x:c r="N18" s="74" t="n">
        <x:f>N9*'Assumptions'!N43*'Assumptions'!N68</x:f>
        <x:v>10678445.742268363</x:v>
      </x:c>
      <x:c r="O18" s="74" t="n">
        <x:f>O9*'Assumptions'!O43*'Assumptions'!O68</x:f>
        <x:v>11531484.598711656</x:v>
      </x:c>
      <x:c r="P18" s="74" t="n">
        <x:f>P9*'Assumptions'!P43*'Assumptions'!P68</x:f>
        <x:v>12363197.483743867</x:v>
      </x:c>
      <x:c r="Q18" s="74" t="n">
        <x:f>Q9*'Assumptions'!Q43*'Assumptions'!Q68</x:f>
        <x:v>13174117.546650272</x:v>
      </x:c>
      <x:c r="R18" s="74" t="n">
        <x:f>R9*'Assumptions'!R43*'Assumptions'!R68</x:f>
        <x:v>13964764.607984016</x:v>
      </x:c>
      <x:c r="S18" s="74" t="n">
        <x:f>S9*'Assumptions'!S43*'Assumptions'!S68</x:f>
        <x:v>14735645.492784418</x:v>
      </x:c>
      <x:c r="T18" s="74" t="n">
        <x:f>T9*'Assumptions'!T43*'Assumptions'!T68</x:f>
        <x:v>15487254.355464807</x:v>
      </x:c>
      <x:c r="U18" s="74" t="n">
        <x:f>U9*'Assumptions'!U43*'Assumptions'!U68</x:f>
        <x:v>16220072.996578189</x:v>
      </x:c>
      <x:c r="V18" s="74" t="n">
        <x:f>V9*'Assumptions'!V43*'Assumptions'!V68</x:f>
        <x:v>16934571.17166373</x:v>
      </x:c>
      <x:c r="W18" s="74" t="n">
        <x:f>W9*'Assumptions'!W43*'Assumptions'!W68</x:f>
        <x:v>17631206.892372143</x:v>
      </x:c>
      <x:c r="X18" s="74" t="n">
        <x:f>X9*'Assumptions'!X43*'Assumptions'!X68</x:f>
        <x:v>18310426.72006284</x:v>
      </x:c>
      <x:c r="Y18" s="74" t="n">
        <x:f>Y9*'Assumptions'!Y43*'Assumptions'!Y68</x:f>
        <x:v>18972666.05206127</x:v>
      </x:c>
      <x:c r="Z18" s="74" t="n">
        <x:f>Z9*'Assumptions'!Z43*'Assumptions'!Z68</x:f>
        <x:v>19618349.400759738</x:v>
      </x:c>
      <x:c r="AA18" s="74" t="n">
        <x:f>AA9*'Assumptions'!AA43*'Assumptions'!AA68</x:f>
        <x:v>20247890.665740747</x:v>
      </x:c>
      <x:c r="AB18" s="74" t="n">
        <x:f>AB9*'Assumptions'!AB43*'Assumptions'!AB68</x:f>
        <x:v>20861693.399097223</x:v>
      </x:c>
      <x:c r="AC18" s="74" t="n">
        <x:f>AC9*'Assumptions'!AC43*'Assumptions'!AC68</x:f>
        <x:v>21460151.064119797</x:v>
      </x:c>
      <x:c r="AD18" s="74" t="n">
        <x:f>AD9*'Assumptions'!AD43*'Assumptions'!AD68</x:f>
        <x:v>22043647.2875168</x:v>
      </x:c>
      <x:c r="AE18" s="74" t="n">
        <x:f>AE9*'Assumptions'!AE43*'Assumptions'!AE68</x:f>
        <x:v>22612556.105328877</x:v>
      </x:c>
      <x:c r="AF18" s="74" t="n">
        <x:f>AF9*'Assumptions'!AF43*'Assumptions'!AF68</x:f>
        <x:v>23167242.202695657</x:v>
      </x:c>
      <x:c r="AG18" s="74" t="n">
        <x:f>AG9*'Assumptions'!AG43*'Assumptions'!AG68</x:f>
        <x:v>23708061.147628266</x:v>
      </x:c>
      <x:c r="AH18" s="74" t="n">
        <x:f>AH9*'Assumptions'!AH43*'Assumptions'!AH68</x:f>
        <x:v>24235359.61893756</x:v>
      </x:c>
      <x:c r="AI18" s="74" t="n">
        <x:f>AI9*'Assumptions'!AI43*'Assumptions'!AI68</x:f>
        <x:v>24749475.628464125</x:v>
      </x:c>
      <x:c r="AJ18" s="74" t="n">
        <x:f>AJ9*'Assumptions'!AJ43*'Assumptions'!AJ68</x:f>
        <x:v>25250738.737752523</x:v>
      </x:c>
      <x:c r="AK18" s="74" t="n">
        <x:f>AK9*'Assumptions'!AK43*'Assumptions'!AK68</x:f>
        <x:v>25739470.26930871</x:v>
      </x:c>
      <x:c r="AL18" s="74" t="n">
        <x:f>AL9*'Assumptions'!AL43*'Assumptions'!AL68</x:f>
        <x:v>26215983.51257599</x:v>
      </x:c>
    </x:row>
    <x:row r="19">
      <x:c r="A19" s="67" t="str">
        <x:v>Data and Cloud Cost</x:v>
      </x:c>
      <x:c r="B19" s="67" t="str"/>
      <x:c r="C19" s="74" t="n">
        <x:f>C9*'Assumptions'!C43*'Assumptions'!C73</x:f>
        <x:v>702000</x:v>
      </x:c>
      <x:c r="D19" s="74" t="n">
        <x:f>D9*'Assumptions'!D43*'Assumptions'!D73</x:f>
        <x:v>684449.9999999999</x:v>
      </x:c>
      <x:c r="E19" s="74" t="n">
        <x:f>E9*'Assumptions'!E43*'Assumptions'!E73</x:f>
        <x:v>667338.75</x:v>
      </x:c>
      <x:c r="F19" s="74" t="n">
        <x:f>F9*'Assumptions'!F43*'Assumptions'!F73</x:f>
        <x:v>1034655.28125</x:v>
      </x:c>
      <x:c r="G19" s="74" t="n">
        <x:f>G9*'Assumptions'!G43*'Assumptions'!G73</x:f>
        <x:v>1392788.8992187502</x:v>
      </x:c>
      <x:c r="H19" s="74" t="n">
        <x:f>H9*'Assumptions'!H43*'Assumptions'!H73</x:f>
        <x:v>1741969.1767382817</x:v>
      </x:c>
      <x:c r="I19" s="74" t="n">
        <x:f>I9*'Assumptions'!I43*'Assumptions'!I73</x:f>
        <x:v>2082419.9473198242</x:v>
      </x:c>
      <x:c r="J19" s="74" t="n">
        <x:f>J9*'Assumptions'!J43*'Assumptions'!J73</x:f>
        <x:v>2414359.448636829</x:v>
      </x:c>
      <x:c r="K19" s="74" t="n">
        <x:f>K9*'Assumptions'!K43*'Assumptions'!K73</x:f>
        <x:v>2738000.462420908</x:v>
      </x:c>
      <x:c r="L19" s="74" t="n">
        <x:f>L9*'Assumptions'!L43*'Assumptions'!L73</x:f>
        <x:v>3053550.450860385</x:v>
      </x:c>
      <x:c r="M19" s="74" t="n">
        <x:f>M9*'Assumptions'!M43*'Assumptions'!M73</x:f>
        <x:v>3361211.689588875</x:v>
      </x:c>
      <x:c r="N19" s="74" t="n">
        <x:f>N9*'Assumptions'!N43*'Assumptions'!N73</x:f>
        <x:v>3661181.397349153</x:v>
      </x:c>
      <x:c r="O19" s="74" t="n">
        <x:f>O9*'Assumptions'!O43*'Assumptions'!O73</x:f>
        <x:v>3953651.862415425</x:v>
      </x:c>
      <x:c r="P19" s="74" t="n">
        <x:f>P9*'Assumptions'!P43*'Assumptions'!P73</x:f>
        <x:v>4238810.56585504</x:v>
      </x:c>
      <x:c r="Q19" s="74" t="n">
        <x:f>Q9*'Assumptions'!Q43*'Assumptions'!Q73</x:f>
        <x:v>4516840.301708665</x:v>
      </x:c>
      <x:c r="R19" s="74" t="n">
        <x:f>R9*'Assumptions'!R43*'Assumptions'!R73</x:f>
        <x:v>4787919.294165948</x:v>
      </x:c>
      <x:c r="S19" s="74" t="n">
        <x:f>S9*'Assumptions'!S43*'Assumptions'!S73</x:f>
        <x:v>5052221.311811801</x:v>
      </x:c>
      <x:c r="T19" s="74" t="n">
        <x:f>T9*'Assumptions'!T43*'Assumptions'!T73</x:f>
        <x:v>5309915.779016505</x:v>
      </x:c>
      <x:c r="U19" s="74" t="n">
        <x:f>U9*'Assumptions'!U43*'Assumptions'!U73</x:f>
        <x:v>5561167.884541093</x:v>
      </x:c>
      <x:c r="V19" s="74" t="n">
        <x:f>V9*'Assumptions'!V43*'Assumptions'!V73</x:f>
        <x:v>5806138.687427565</x:v>
      </x:c>
      <x:c r="W19" s="74" t="n">
        <x:f>W9*'Assumptions'!W43*'Assumptions'!W73</x:f>
        <x:v>6044985.220241877</x:v>
      </x:c>
      <x:c r="X19" s="74" t="n">
        <x:f>X9*'Assumptions'!X43*'Assumptions'!X73</x:f>
        <x:v>6277860.589735831</x:v>
      </x:c>
      <x:c r="Y19" s="74" t="n">
        <x:f>Y9*'Assumptions'!Y43*'Assumptions'!Y73</x:f>
        <x:v>6504914.074992435</x:v>
      </x:c>
      <x:c r="Z19" s="74" t="n">
        <x:f>Z9*'Assumptions'!Z43*'Assumptions'!Z73</x:f>
        <x:v>6726291.223117624</x:v>
      </x:c>
      <x:c r="AA19" s="74" t="n">
        <x:f>AA9*'Assumptions'!AA43*'Assumptions'!AA73</x:f>
        <x:v>6942133.9425396845</x:v>
      </x:c>
      <x:c r="AB19" s="74" t="n">
        <x:f>AB9*'Assumptions'!AB43*'Assumptions'!AB73</x:f>
        <x:v>7152580.593976191</x:v>
      </x:c>
      <x:c r="AC19" s="74" t="n">
        <x:f>AC9*'Assumptions'!AC43*'Assumptions'!AC73</x:f>
        <x:v>7357766.079126787</x:v>
      </x:c>
      <x:c r="AD19" s="74" t="n">
        <x:f>AD9*'Assumptions'!AD43*'Assumptions'!AD73</x:f>
        <x:v>7557821.927148617</x:v>
      </x:c>
      <x:c r="AE19" s="74" t="n">
        <x:f>AE9*'Assumptions'!AE43*'Assumptions'!AE73</x:f>
        <x:v>7752876.3789699</x:v>
      </x:c>
      <x:c r="AF19" s="74" t="n">
        <x:f>AF9*'Assumptions'!AF43*'Assumptions'!AF73</x:f>
        <x:v>7943054.469495654</x:v>
      </x:c>
      <x:c r="AG19" s="74" t="n">
        <x:f>AG9*'Assumptions'!AG43*'Assumptions'!AG73</x:f>
        <x:v>8128478.107758262</x:v>
      </x:c>
      <x:c r="AH19" s="74" t="n">
        <x:f>AH9*'Assumptions'!AH43*'Assumptions'!AH73</x:f>
        <x:v>8309266.155064306</x:v>
      </x:c>
      <x:c r="AI19" s="74" t="n">
        <x:f>AI9*'Assumptions'!AI43*'Assumptions'!AI73</x:f>
        <x:v>8485534.501187699</x:v>
      </x:c>
      <x:c r="AJ19" s="74" t="n">
        <x:f>AJ9*'Assumptions'!AJ43*'Assumptions'!AJ73</x:f>
        <x:v>8657396.138658008</x:v>
      </x:c>
      <x:c r="AK19" s="74" t="n">
        <x:f>AK9*'Assumptions'!AK43*'Assumptions'!AK73</x:f>
        <x:v>8824961.235191558</x:v>
      </x:c>
      <x:c r="AL19" s="74" t="n">
        <x:f>AL9*'Assumptions'!AL43*'Assumptions'!AL73</x:f>
        <x:v>8988337.20431177</x:v>
      </x:c>
    </x:row>
    <x:row r="20">
      <x:c r="A20" s="67" t="str">
        <x:v>Other Variable Cost</x:v>
      </x:c>
      <x:c r="B20" s="67" t="str"/>
      <x:c r="C20" s="74" t="n">
        <x:f>C14*'Assumptions'!$D$15</x:f>
        <x:v>497250</x:v>
      </x:c>
      <x:c r="D20" s="74" t="n">
        <x:f>D14*'Assumptions'!$D$15</x:f>
        <x:v>484818.75</x:v>
      </x:c>
      <x:c r="E20" s="74" t="n">
        <x:f>E14*'Assumptions'!$D$15</x:f>
        <x:v>472698.28125</x:v>
      </x:c>
      <x:c r="F20" s="74" t="n">
        <x:f>F14*'Assumptions'!$D$15</x:f>
        <x:v>732880.82421875</x:v>
      </x:c>
      <x:c r="G20" s="74" t="n">
        <x:f>G14*'Assumptions'!$D$15</x:f>
        <x:v>986558.8036132812</x:v>
      </x:c>
      <x:c r="H20" s="74" t="n">
        <x:f>H14*'Assumptions'!$D$15</x:f>
        <x:v>1233894.8335229496</x:v>
      </x:c>
      <x:c r="I20" s="74" t="n">
        <x:f>I14*'Assumptions'!$D$15</x:f>
        <x:v>1475047.4626848758</x:v>
      </x:c>
      <x:c r="J20" s="74" t="n">
        <x:f>J14*'Assumptions'!$D$15</x:f>
        <x:v>1710171.2761177535</x:v>
      </x:c>
      <x:c r="K20" s="74" t="n">
        <x:f>K14*'Assumptions'!$D$15</x:f>
        <x:v>1939416.9942148095</x:v>
      </x:c>
      <x:c r="L20" s="74" t="n">
        <x:f>L14*'Assumptions'!$D$15</x:f>
        <x:v>2162931.569359439</x:v>
      </x:c>
      <x:c r="M20" s="74" t="n">
        <x:f>M14*'Assumptions'!$D$15</x:f>
        <x:v>2380858.280125453</x:v>
      </x:c>
      <x:c r="N20" s="74" t="n">
        <x:f>N14*'Assumptions'!$D$15</x:f>
        <x:v>2593336.823122317</x:v>
      </x:c>
      <x:c r="O20" s="74" t="n">
        <x:f>O14*'Assumptions'!$D$15</x:f>
        <x:v>2800503.4025442596</x:v>
      </x:c>
      <x:c r="P20" s="74" t="n">
        <x:f>P14*'Assumptions'!$D$15</x:f>
        <x:v>3002490.8174806535</x:v>
      </x:c>
      <x:c r="Q20" s="74" t="n">
        <x:f>Q14*'Assumptions'!$D$15</x:f>
        <x:v>3199428.547043637</x:v>
      </x:c>
      <x:c r="R20" s="74" t="n">
        <x:f>R14*'Assumptions'!$D$15</x:f>
        <x:v>3391442.833367546</x:v>
      </x:c>
      <x:c r="S20" s="74" t="n">
        <x:f>S14*'Assumptions'!$D$15</x:f>
        <x:v>3578656.7625333583</x:v>
      </x:c>
      <x:c r="T20" s="74" t="n">
        <x:f>T14*'Assumptions'!$D$15</x:f>
        <x:v>3761190.3434700253</x:v>
      </x:c>
      <x:c r="U20" s="74" t="n">
        <x:f>U14*'Assumptions'!$D$15</x:f>
        <x:v>3939160.5848832745</x:v>
      </x:c>
      <x:c r="V20" s="74" t="n">
        <x:f>V14*'Assumptions'!$D$15</x:f>
        <x:v>4112681.5702611925</x:v>
      </x:c>
      <x:c r="W20" s="74" t="n">
        <x:f>W14*'Assumptions'!$D$15</x:f>
        <x:v>4281864.531004664</x:v>
      </x:c>
      <x:c r="X20" s="74" t="n">
        <x:f>X14*'Assumptions'!$D$15</x:f>
        <x:v>4446817.917729547</x:v>
      </x:c>
      <x:c r="Y20" s="74" t="n">
        <x:f>Y14*'Assumptions'!$D$15</x:f>
        <x:v>4607647.469786308</x:v>
      </x:c>
      <x:c r="Z20" s="74" t="n">
        <x:f>Z14*'Assumptions'!$D$15</x:f>
        <x:v>4764456.28304165</x:v>
      </x:c>
      <x:c r="AA20" s="74" t="n">
        <x:f>AA14*'Assumptions'!$D$15</x:f>
        <x:v>4917344.875965609</x:v>
      </x:c>
      <x:c r="AB20" s="74" t="n">
        <x:f>AB14*'Assumptions'!$D$15</x:f>
        <x:v>5066411.25406647</x:v>
      </x:c>
      <x:c r="AC20" s="74" t="n">
        <x:f>AC14*'Assumptions'!$D$15</x:f>
        <x:v>5211750.972714808</x:v>
      </x:c>
      <x:c r="AD20" s="74" t="n">
        <x:f>AD14*'Assumptions'!$D$15</x:f>
        <x:v>5353457.198396937</x:v>
      </x:c>
      <x:c r="AE20" s="74" t="n">
        <x:f>AE14*'Assumptions'!$D$15</x:f>
        <x:v>5491620.768437012</x:v>
      </x:c>
      <x:c r="AF20" s="74" t="n">
        <x:f>AF14*'Assumptions'!$D$15</x:f>
        <x:v>5626330.249226089</x:v>
      </x:c>
      <x:c r="AG20" s="74" t="n">
        <x:f>AG14*'Assumptions'!$D$15</x:f>
        <x:v>5757671.992995436</x:v>
      </x:c>
      <x:c r="AH20" s="74" t="n">
        <x:f>AH14*'Assumptions'!$D$15</x:f>
        <x:v>5885730.19317055</x:v>
      </x:c>
      <x:c r="AI20" s="74" t="n">
        <x:f>AI14*'Assumptions'!$D$15</x:f>
        <x:v>6010586.938341288</x:v>
      </x:c>
      <x:c r="AJ20" s="74" t="n">
        <x:f>AJ14*'Assumptions'!$D$15</x:f>
        <x:v>6132322.2648827555</x:v>
      </x:c>
      <x:c r="AK20" s="74" t="n">
        <x:f>AK14*'Assumptions'!$D$15</x:f>
        <x:v>6251014.208260686</x:v>
      </x:c>
      <x:c r="AL20" s="74" t="n">
        <x:f>AL14*'Assumptions'!$D$15</x:f>
        <x:v>6366738.85305417</x:v>
      </x:c>
    </x:row>
    <x:row r="21">
      <x:c r="A21" s="67" t="str">
        <x:v>Total COGS</x:v>
      </x:c>
      <x:c r="B21" s="67" t="str"/>
      <x:c r="C21" s="74" t="n">
        <x:f>SUM(C16:C20)</x:f>
        <x:v>3282271.2</x:v>
      </x:c>
      <x:c r="D21" s="74" t="n">
        <x:f>SUM(D16:D20)</x:f>
        <x:v>3200214.4199999995</x:v>
      </x:c>
      <x:c r="E21" s="74" t="n">
        <x:f>SUM(E16:E20)</x:f>
        <x:v>3120209.0595</x:v>
      </x:c>
      <x:c r="F21" s="74" t="n">
        <x:f>SUM(F16:F20)</x:f>
        <x:v>4837634.2330125</x:v>
      </x:c>
      <x:c r="G21" s="74" t="n">
        <x:f>SUM(G16:G20)</x:f>
        <x:v>6512123.777187187</x:v>
      </x:c>
      <x:c r="H21" s="74" t="n">
        <x:f>SUM(H16:H20)</x:f>
        <x:v>8144751.08275751</x:v>
      </x:c>
      <x:c r="I21" s="74" t="n">
        <x:f>SUM(I16:I20)</x:f>
        <x:v>9736562.70568857</x:v>
      </x:c>
      <x:c r="J21" s="74" t="n">
        <x:f>SUM(J16:J20)</x:f>
        <x:v>11288579.038046356</x:v>
      </x:c>
      <x:c r="K21" s="74" t="n">
        <x:f>SUM(K16:K20)</x:f>
        <x:v>12801794.962095197</x:v>
      </x:c>
      <x:c r="L21" s="74" t="n">
        <x:f>SUM(L16:L20)</x:f>
        <x:v>14277180.488042815</x:v>
      </x:c>
      <x:c r="M21" s="74" t="n">
        <x:f>SUM(M16:M20)</x:f>
        <x:v>15715681.375841744</x:v>
      </x:c>
      <x:c r="N21" s="74" t="n">
        <x:f>SUM(N16:N20)</x:f>
        <x:v>17118219.741445698</x:v>
      </x:c>
      <x:c r="O21" s="74" t="n">
        <x:f>SUM(O16:O20)</x:f>
        <x:v>18485694.647909563</x:v>
      </x:c>
      <x:c r="P21" s="74" t="n">
        <x:f>SUM(P16:P20)</x:f>
        <x:v>19818982.681711826</x:v>
      </x:c>
      <x:c r="Q21" s="74" t="n">
        <x:f>SUM(Q16:Q20)</x:f>
        <x:v>21118938.51466903</x:v>
      </x:c>
      <x:c r="R21" s="74" t="n">
        <x:f>SUM(R16:R20)</x:f>
        <x:v>22386395.451802306</x:v>
      </x:c>
      <x:c r="S21" s="74" t="n">
        <x:f>SUM(S16:S20)</x:f>
        <x:v>23622165.965507254</x:v>
      </x:c>
      <x:c r="T21" s="74" t="n">
        <x:f>SUM(T16:T20)</x:f>
        <x:v>24827042.216369573</x:v>
      </x:c>
      <x:c r="U21" s="74" t="n">
        <x:f>SUM(U16:U20)</x:f>
        <x:v>26001796.560960338</x:v>
      </x:c>
      <x:c r="V21" s="74" t="n">
        <x:f>SUM(V16:V20)</x:f>
        <x:v>27147182.046936322</x:v>
      </x:c>
      <x:c r="W21" s="74" t="n">
        <x:f>SUM(W16:W20)</x:f>
        <x:v>28263932.895762924</x:v>
      </x:c>
      <x:c r="X21" s="74" t="n">
        <x:f>SUM(X16:X20)</x:f>
        <x:v>29352764.973368853</x:v>
      </x:c>
      <x:c r="Y21" s="74" t="n">
        <x:f>SUM(Y16:Y20)</x:f>
        <x:v>30414376.24903463</x:v>
      </x:c>
      <x:c r="Z21" s="74" t="n">
        <x:f>SUM(Z16:Z20)</x:f>
        <x:v>31449447.242808767</x:v>
      </x:c>
      <x:c r="AA21" s="74" t="n">
        <x:f>SUM(AA16:AA20)</x:f>
        <x:v>32458641.46173855</x:v>
      </x:c>
      <x:c r="AB21" s="74" t="n">
        <x:f>SUM(AB16:AB20)</x:f>
        <x:v>33442605.82519508</x:v>
      </x:c>
      <x:c r="AC21" s="74" t="n">
        <x:f>SUM(AC16:AC20)</x:f>
        <x:v>34401971.07956521</x:v>
      </x:c>
      <x:c r="AD21" s="74" t="n">
        <x:f>SUM(AD16:AD20)</x:f>
        <x:v>35337352.20257607</x:v>
      </x:c>
      <x:c r="AE21" s="74" t="n">
        <x:f>SUM(AE16:AE20)</x:f>
        <x:v>36249348.79751167</x:v>
      </x:c>
      <x:c r="AF21" s="74" t="n">
        <x:f>SUM(AF16:AF20)</x:f>
        <x:v>37138545.47757388</x:v>
      </x:c>
      <x:c r="AG21" s="74" t="n">
        <x:f>SUM(AG16:AG20)</x:f>
        <x:v>38005512.24063453</x:v>
      </x:c>
      <x:c r="AH21" s="74" t="n">
        <x:f>SUM(AH16:AH20)</x:f>
        <x:v>38850804.83461867</x:v>
      </x:c>
      <x:c r="AI21" s="74" t="n">
        <x:f>SUM(AI16:AI20)</x:f>
        <x:v>39674965.113753214</x:v>
      </x:c>
      <x:c r="AJ21" s="74" t="n">
        <x:f>SUM(AJ16:AJ20)</x:f>
        <x:v>40478521.385909386</x:v>
      </x:c>
      <x:c r="AK21" s="74" t="n">
        <x:f>SUM(AK16:AK20)</x:f>
        <x:v>41261988.751261644</x:v>
      </x:c>
      <x:c r="AL21" s="74" t="n">
        <x:f>SUM(AL16:AL20)</x:f>
        <x:v>42025869.4324801</x:v>
      </x:c>
    </x:row>
    <x:row r="22">
      <x:c r="A22" s="67" t="str">
        <x:v>Gross Profit</x:v>
      </x:c>
      <x:c r="B22" s="67" t="str"/>
      <x:c r="C22" s="76" t="n">
        <x:f>C14-C21</x:f>
        <x:v>21580228.8</x:v>
      </x:c>
      <x:c r="D22" s="76" t="n">
        <x:f>D14-D21</x:f>
        <x:v>21040723.080000002</x:v>
      </x:c>
      <x:c r="E22" s="76" t="n">
        <x:f>E14-E21</x:f>
        <x:v>20514705.003</x:v>
      </x:c>
      <x:c r="F22" s="76" t="n">
        <x:f>F14-F21</x:f>
        <x:v>31806406.977925</x:v>
      </x:c>
      <x:c r="G22" s="76" t="n">
        <x:f>G14-G21</x:f>
        <x:v>42815816.40347688</x:v>
      </x:c>
      <x:c r="H22" s="76" t="n">
        <x:f>H14-H21</x:f>
        <x:v>53549990.593389966</x:v>
      </x:c>
      <x:c r="I22" s="76" t="n">
        <x:f>I14-I21</x:f>
        <x:v>64015810.42855522</x:v>
      </x:c>
      <x:c r="J22" s="76" t="n">
        <x:f>J14-J21</x:f>
        <x:v>74219984.76784131</x:v>
      </x:c>
      <x:c r="K22" s="76" t="n">
        <x:f>K14-K21</x:f>
        <x:v>84169054.74864528</x:v>
      </x:c>
      <x:c r="L22" s="76" t="n">
        <x:f>L14-L21</x:f>
        <x:v>93869397.97992913</x:v>
      </x:c>
      <x:c r="M22" s="76" t="n">
        <x:f>M14-M21</x:f>
        <x:v>103327232.6304309</x:v>
      </x:c>
      <x:c r="N22" s="76" t="n">
        <x:f>N14-N21</x:f>
        <x:v>112548621.41467014</x:v>
      </x:c>
      <x:c r="O22" s="76" t="n">
        <x:f>O14-O21</x:f>
        <x:v>121539475.4793034</x:v>
      </x:c>
      <x:c r="P22" s="76" t="n">
        <x:f>P14-P21</x:f>
        <x:v>130305558.19232085</x:v>
      </x:c>
      <x:c r="Q22" s="76" t="n">
        <x:f>Q14-Q21</x:f>
        <x:v>138852488.83751282</x:v>
      </x:c>
      <x:c r="R22" s="76" t="n">
        <x:f>R14-R21</x:f>
        <x:v>147185746.216575</x:v>
      </x:c>
      <x:c r="S22" s="76" t="n">
        <x:f>S14-S21</x:f>
        <x:v>155310672.16116065</x:v>
      </x:c>
      <x:c r="T22" s="76" t="n">
        <x:f>T14-T21</x:f>
        <x:v>163232474.95713168</x:v>
      </x:c>
      <x:c r="U22" s="76" t="n">
        <x:f>U14-U21</x:f>
        <x:v>170956232.6832034</x:v>
      </x:c>
      <x:c r="V22" s="76" t="n">
        <x:f>V14-V21</x:f>
        <x:v>178486896.46612328</x:v>
      </x:c>
      <x:c r="W22" s="76" t="n">
        <x:f>W14-W21</x:f>
        <x:v>185829293.65447024</x:v>
      </x:c>
      <x:c r="X22" s="76" t="n">
        <x:f>X14-X21</x:f>
        <x:v>192988130.91310853</x:v>
      </x:c>
      <x:c r="Y22" s="76" t="n">
        <x:f>Y14-Y21</x:f>
        <x:v>199967997.24028075</x:v>
      </x:c>
      <x:c r="Z22" s="76" t="n">
        <x:f>Z14-Z21</x:f>
        <x:v>206773366.90927374</x:v>
      </x:c>
      <x:c r="AA22" s="76" t="n">
        <x:f>AA14-AA21</x:f>
        <x:v>213408602.33654192</x:v>
      </x:c>
      <x:c r="AB22" s="76" t="n">
        <x:f>AB14-AB21</x:f>
        <x:v>219877956.8781284</x:v>
      </x:c>
      <x:c r="AC22" s="76" t="n">
        <x:f>AC14-AC21</x:f>
        <x:v>226185577.55617517</x:v>
      </x:c>
      <x:c r="AD22" s="76" t="n">
        <x:f>AD14-AD21</x:f>
        <x:v>232335507.7172708</x:v>
      </x:c>
      <x:c r="AE22" s="76" t="n">
        <x:f>AE14-AE21</x:f>
        <x:v>238331689.62433895</x:v>
      </x:c>
      <x:c r="AF22" s="76" t="n">
        <x:f>AF14-AF21</x:f>
        <x:v>244177966.98373055</x:v>
      </x:c>
      <x:c r="AG22" s="76" t="n">
        <x:f>AG14-AG21</x:f>
        <x:v>249878087.40913728</x:v>
      </x:c>
      <x:c r="AH22" s="76" t="n">
        <x:f>AH14-AH21</x:f>
        <x:v>255435704.8239088</x:v>
      </x:c>
      <x:c r="AI22" s="76" t="n">
        <x:f>AI14-AI21</x:f>
        <x:v>260854381.80331117</x:v>
      </x:c>
      <x:c r="AJ22" s="76" t="n">
        <x:f>AJ14-AJ21</x:f>
        <x:v>266137591.8582284</x:v>
      </x:c>
      <x:c r="AK22" s="76" t="n">
        <x:f>AK14-AK21</x:f>
        <x:v>271288721.66177267</x:v>
      </x:c>
      <x:c r="AL22" s="76" t="n">
        <x:f>AL14-AL21</x:f>
        <x:v>276311073.2202284</x:v>
      </x:c>
    </x:row>
    <x:row r="23">
      <x:c r="A23" s="67" t="str">
        <x:v>Gross Margin</x:v>
      </x:c>
      <x:c r="B23" s="67" t="str"/>
      <x:c r="C23" s="78" t="n">
        <x:f>IF(C14=0,0,C22/C14)</x:f>
        <x:v>0.8679830588235294</x:v>
      </x:c>
      <x:c r="D23" s="78" t="n">
        <x:f>IF(D14=0,0,D22/D14)</x:f>
        <x:v>0.8679830588235294</x:v>
      </x:c>
      <x:c r="E23" s="78" t="n">
        <x:f>IF(E14=0,0,E22/E14)</x:f>
        <x:v>0.8679830588235293</x:v>
      </x:c>
      <x:c r="F23" s="78" t="n">
        <x:f>IF(F14=0,0,F22/F14)</x:f>
        <x:v>0.8679830588235293</x:v>
      </x:c>
      <x:c r="G23" s="78" t="n">
        <x:f>IF(G14=0,0,G22/G14)</x:f>
        <x:v>0.8679830588235294</x:v>
      </x:c>
      <x:c r="H23" s="78" t="n">
        <x:f>IF(H14=0,0,H22/H14)</x:f>
        <x:v>0.8679830588235294</x:v>
      </x:c>
      <x:c r="I23" s="78" t="n">
        <x:f>IF(I14=0,0,I22/I14)</x:f>
        <x:v>0.8679830588235294</x:v>
      </x:c>
      <x:c r="J23" s="78" t="n">
        <x:f>IF(J14=0,0,J22/J14)</x:f>
        <x:v>0.8679830588235293</x:v>
      </x:c>
      <x:c r="K23" s="78" t="n">
        <x:f>IF(K14=0,0,K22/K14)</x:f>
        <x:v>0.8679830588235293</x:v>
      </x:c>
      <x:c r="L23" s="78" t="n">
        <x:f>IF(L14=0,0,L22/L14)</x:f>
        <x:v>0.8679830588235294</x:v>
      </x:c>
      <x:c r="M23" s="78" t="n">
        <x:f>IF(M14=0,0,M22/M14)</x:f>
        <x:v>0.8679830588235294</x:v>
      </x:c>
      <x:c r="N23" s="78" t="n">
        <x:f>IF(N14=0,0,N22/N14)</x:f>
        <x:v>0.8679830588235293</x:v>
      </x:c>
      <x:c r="O23" s="78" t="n">
        <x:f>IF(O14=0,0,O22/O14)</x:f>
        <x:v>0.8679830588235293</x:v>
      </x:c>
      <x:c r="P23" s="78" t="n">
        <x:f>IF(P14=0,0,P22/P14)</x:f>
        <x:v>0.8679830588235294</x:v>
      </x:c>
      <x:c r="Q23" s="78" t="n">
        <x:f>IF(Q14=0,0,Q22/Q14)</x:f>
        <x:v>0.8679830588235294</x:v>
      </x:c>
      <x:c r="R23" s="78" t="n">
        <x:f>IF(R14=0,0,R22/R14)</x:f>
        <x:v>0.8679830588235293</x:v>
      </x:c>
      <x:c r="S23" s="78" t="n">
        <x:f>IF(S14=0,0,S22/S14)</x:f>
        <x:v>0.8679830588235293</x:v>
      </x:c>
      <x:c r="T23" s="78" t="n">
        <x:f>IF(T14=0,0,T22/T14)</x:f>
        <x:v>0.8679830588235294</x:v>
      </x:c>
      <x:c r="U23" s="78" t="n">
        <x:f>IF(U14=0,0,U22/U14)</x:f>
        <x:v>0.8679830588235294</x:v>
      </x:c>
      <x:c r="V23" s="78" t="n">
        <x:f>IF(V14=0,0,V22/V14)</x:f>
        <x:v>0.8679830588235293</x:v>
      </x:c>
      <x:c r="W23" s="78" t="n">
        <x:f>IF(W14=0,0,W22/W14)</x:f>
        <x:v>0.8679830588235294</x:v>
      </x:c>
      <x:c r="X23" s="78" t="n">
        <x:f>IF(X14=0,0,X22/X14)</x:f>
        <x:v>0.8679830588235294</x:v>
      </x:c>
      <x:c r="Y23" s="78" t="n">
        <x:f>IF(Y14=0,0,Y22/Y14)</x:f>
        <x:v>0.8679830588235293</x:v>
      </x:c>
      <x:c r="Z23" s="78" t="n">
        <x:f>IF(Z14=0,0,Z22/Z14)</x:f>
        <x:v>0.8679830588235294</x:v>
      </x:c>
      <x:c r="AA23" s="78" t="n">
        <x:f>IF(AA14=0,0,AA22/AA14)</x:f>
        <x:v>0.8679830588235293</x:v>
      </x:c>
      <x:c r="AB23" s="78" t="n">
        <x:f>IF(AB14=0,0,AB22/AB14)</x:f>
        <x:v>0.8679830588235294</x:v>
      </x:c>
      <x:c r="AC23" s="78" t="n">
        <x:f>IF(AC14=0,0,AC22/AC14)</x:f>
        <x:v>0.8679830588235293</x:v>
      </x:c>
      <x:c r="AD23" s="78" t="n">
        <x:f>IF(AD14=0,0,AD22/AD14)</x:f>
        <x:v>0.8679830588235294</x:v>
      </x:c>
      <x:c r="AE23" s="78" t="n">
        <x:f>IF(AE14=0,0,AE22/AE14)</x:f>
        <x:v>0.8679830588235294</x:v>
      </x:c>
      <x:c r="AF23" s="78" t="n">
        <x:f>IF(AF14=0,0,AF22/AF14)</x:f>
        <x:v>0.8679830588235294</x:v>
      </x:c>
      <x:c r="AG23" s="78" t="n">
        <x:f>IF(AG14=0,0,AG22/AG14)</x:f>
        <x:v>0.8679830588235294</x:v>
      </x:c>
      <x:c r="AH23" s="78" t="n">
        <x:f>IF(AH14=0,0,AH22/AH14)</x:f>
        <x:v>0.8679830588235293</x:v>
      </x:c>
      <x:c r="AI23" s="78" t="n">
        <x:f>IF(AI14=0,0,AI22/AI14)</x:f>
        <x:v>0.8679830588235294</x:v>
      </x:c>
      <x:c r="AJ23" s="78" t="n">
        <x:f>IF(AJ14=0,0,AJ22/AJ14)</x:f>
        <x:v>0.8679830588235294</x:v>
      </x:c>
      <x:c r="AK23" s="78" t="n">
        <x:f>IF(AK14=0,0,AK22/AK14)</x:f>
        <x:v>0.8679830588235294</x:v>
      </x:c>
      <x:c r="AL23" s="78" t="n">
        <x:f>IF(AL14=0,0,AL22/AL14)</x:f>
        <x:v>0.8679830588235294</x:v>
      </x:c>
    </x:row>
    <x:row r="24">
      <x:c r="A24" s="67" t="str"/>
      <x:c r="B24" s="67" t="str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  <x:c r="AA24" s="14"/>
      <x:c r="AB24" s="14"/>
      <x:c r="AC24" s="14"/>
      <x:c r="AD24" s="14"/>
      <x:c r="AE24" s="14"/>
      <x:c r="AF24" s="14"/>
      <x:c r="AG24" s="14"/>
      <x:c r="AH24" s="14"/>
      <x:c r="AI24" s="14"/>
      <x:c r="AJ24" s="14"/>
      <x:c r="AK24" s="14"/>
      <x:c r="AL24" s="14"/>
    </x:row>
    <x:row r="25">
      <x:c r="A25" s="66" t="str">
        <x:v>Fixed Opex</x:v>
      </x:c>
      <x:c r="B25" s="66" t="str"/>
      <x:c r="C25" s="74" t="n">
        <x:f>'Assumptions'!C78</x:f>
        <x:v>90000000</x:v>
      </x:c>
      <x:c r="D25" s="74" t="n">
        <x:f>'Assumptions'!D78</x:f>
        <x:v>90000000</x:v>
      </x:c>
      <x:c r="E25" s="74" t="n">
        <x:f>'Assumptions'!E78</x:f>
        <x:v>90000000</x:v>
      </x:c>
      <x:c r="F25" s="74" t="n">
        <x:f>'Assumptions'!F78</x:f>
        <x:v>90000000</x:v>
      </x:c>
      <x:c r="G25" s="74" t="n">
        <x:f>'Assumptions'!G78</x:f>
        <x:v>90000000</x:v>
      </x:c>
      <x:c r="H25" s="74" t="n">
        <x:f>'Assumptions'!H78</x:f>
        <x:v>90000000</x:v>
      </x:c>
      <x:c r="I25" s="74" t="n">
        <x:f>'Assumptions'!I78</x:f>
        <x:v>90000000</x:v>
      </x:c>
      <x:c r="J25" s="74" t="n">
        <x:f>'Assumptions'!J78</x:f>
        <x:v>90000000</x:v>
      </x:c>
      <x:c r="K25" s="74" t="n">
        <x:f>'Assumptions'!K78</x:f>
        <x:v>90000000</x:v>
      </x:c>
      <x:c r="L25" s="74" t="n">
        <x:f>'Assumptions'!L78</x:f>
        <x:v>90000000</x:v>
      </x:c>
      <x:c r="M25" s="74" t="n">
        <x:f>'Assumptions'!M78</x:f>
        <x:v>90000000</x:v>
      </x:c>
      <x:c r="N25" s="74" t="n">
        <x:f>'Assumptions'!N78</x:f>
        <x:v>90000000</x:v>
      </x:c>
      <x:c r="O25" s="74" t="n">
        <x:f>'Assumptions'!O78</x:f>
        <x:v>90000000</x:v>
      </x:c>
      <x:c r="P25" s="74" t="n">
        <x:f>'Assumptions'!P78</x:f>
        <x:v>90000000</x:v>
      </x:c>
      <x:c r="Q25" s="74" t="n">
        <x:f>'Assumptions'!Q78</x:f>
        <x:v>90000000</x:v>
      </x:c>
      <x:c r="R25" s="74" t="n">
        <x:f>'Assumptions'!R78</x:f>
        <x:v>90000000</x:v>
      </x:c>
      <x:c r="S25" s="74" t="n">
        <x:f>'Assumptions'!S78</x:f>
        <x:v>90000000</x:v>
      </x:c>
      <x:c r="T25" s="74" t="n">
        <x:f>'Assumptions'!T78</x:f>
        <x:v>90000000</x:v>
      </x:c>
      <x:c r="U25" s="74" t="n">
        <x:f>'Assumptions'!U78</x:f>
        <x:v>90000000</x:v>
      </x:c>
      <x:c r="V25" s="74" t="n">
        <x:f>'Assumptions'!V78</x:f>
        <x:v>90000000</x:v>
      </x:c>
      <x:c r="W25" s="74" t="n">
        <x:f>'Assumptions'!W78</x:f>
        <x:v>90000000</x:v>
      </x:c>
      <x:c r="X25" s="74" t="n">
        <x:f>'Assumptions'!X78</x:f>
        <x:v>90000000</x:v>
      </x:c>
      <x:c r="Y25" s="74" t="n">
        <x:f>'Assumptions'!Y78</x:f>
        <x:v>90000000</x:v>
      </x:c>
      <x:c r="Z25" s="74" t="n">
        <x:f>'Assumptions'!Z78</x:f>
        <x:v>90000000</x:v>
      </x:c>
      <x:c r="AA25" s="74" t="n">
        <x:f>'Assumptions'!AA78</x:f>
        <x:v>90000000</x:v>
      </x:c>
      <x:c r="AB25" s="74" t="n">
        <x:f>'Assumptions'!AB78</x:f>
        <x:v>90000000</x:v>
      </x:c>
      <x:c r="AC25" s="74" t="n">
        <x:f>'Assumptions'!AC78</x:f>
        <x:v>90000000</x:v>
      </x:c>
      <x:c r="AD25" s="74" t="n">
        <x:f>'Assumptions'!AD78</x:f>
        <x:v>90000000</x:v>
      </x:c>
      <x:c r="AE25" s="74" t="n">
        <x:f>'Assumptions'!AE78</x:f>
        <x:v>90000000</x:v>
      </x:c>
      <x:c r="AF25" s="74" t="n">
        <x:f>'Assumptions'!AF78</x:f>
        <x:v>90000000</x:v>
      </x:c>
      <x:c r="AG25" s="74" t="n">
        <x:f>'Assumptions'!AG78</x:f>
        <x:v>90000000</x:v>
      </x:c>
      <x:c r="AH25" s="74" t="n">
        <x:f>'Assumptions'!AH78</x:f>
        <x:v>90000000</x:v>
      </x:c>
      <x:c r="AI25" s="74" t="n">
        <x:f>'Assumptions'!AI78</x:f>
        <x:v>90000000</x:v>
      </x:c>
      <x:c r="AJ25" s="74" t="n">
        <x:f>'Assumptions'!AJ78</x:f>
        <x:v>90000000</x:v>
      </x:c>
      <x:c r="AK25" s="74" t="n">
        <x:f>'Assumptions'!AK78</x:f>
        <x:v>90000000</x:v>
      </x:c>
      <x:c r="AL25" s="74" t="n">
        <x:f>'Assumptions'!AL78</x:f>
        <x:v>90000000</x:v>
      </x:c>
    </x:row>
    <x:row r="26">
      <x:c r="A26" s="67" t="str">
        <x:v>Operating Profit / Loss</x:v>
      </x:c>
      <x:c r="B26" s="67" t="str"/>
      <x:c r="C26" s="74" t="n">
        <x:f>C22-C25</x:f>
        <x:v>-68419771.2</x:v>
      </x:c>
      <x:c r="D26" s="74" t="n">
        <x:f>D22-D25</x:f>
        <x:v>-68959276.92</x:v>
      </x:c>
      <x:c r="E26" s="74" t="n">
        <x:f>E22-E25</x:f>
        <x:v>-69485294.99700001</x:v>
      </x:c>
      <x:c r="F26" s="74" t="n">
        <x:f>F22-F25</x:f>
        <x:v>-58193593.022075</x:v>
      </x:c>
      <x:c r="G26" s="74" t="n">
        <x:f>G22-G25</x:f>
        <x:v>-47184183.59652312</x:v>
      </x:c>
      <x:c r="H26" s="74" t="n">
        <x:f>H22-H25</x:f>
        <x:v>-36450009.406610034</x:v>
      </x:c>
      <x:c r="I26" s="74" t="n">
        <x:f>I22-I25</x:f>
        <x:v>-25984189.57144478</x:v>
      </x:c>
      <x:c r="J26" s="74" t="n">
        <x:f>J22-J25</x:f>
        <x:v>-15780015.23215869</x:v>
      </x:c>
      <x:c r="K26" s="74" t="n">
        <x:f>K22-K25</x:f>
        <x:v>-5830945.251354724</x:v>
      </x:c>
      <x:c r="L26" s="74" t="n">
        <x:f>L22-L25</x:f>
        <x:v>3869397.9799291342</x:v>
      </x:c>
      <x:c r="M26" s="74" t="n">
        <x:f>M22-M25</x:f>
        <x:v>13327232.630430907</x:v>
      </x:c>
      <x:c r="N26" s="74" t="n">
        <x:f>N22-N25</x:f>
        <x:v>22548621.41467014</x:v>
      </x:c>
      <x:c r="O26" s="74" t="n">
        <x:f>O22-O25</x:f>
        <x:v>31539475.479303405</x:v>
      </x:c>
      <x:c r="P26" s="74" t="n">
        <x:f>P22-P25</x:f>
        <x:v>40305558.19232085</x:v>
      </x:c>
      <x:c r="Q26" s="74" t="n">
        <x:f>Q22-Q25</x:f>
        <x:v>48852488.83751282</x:v>
      </x:c>
      <x:c r="R26" s="74" t="n">
        <x:f>R22-R25</x:f>
        <x:v>57185746.216575</x:v>
      </x:c>
      <x:c r="S26" s="74" t="n">
        <x:f>S22-S25</x:f>
        <x:v>65310672.16116065</x:v>
      </x:c>
      <x:c r="T26" s="74" t="n">
        <x:f>T22-T25</x:f>
        <x:v>73232474.95713168</x:v>
      </x:c>
      <x:c r="U26" s="74" t="n">
        <x:f>U22-U25</x:f>
        <x:v>80956232.6832034</x:v>
      </x:c>
      <x:c r="V26" s="74" t="n">
        <x:f>V22-V25</x:f>
        <x:v>88486896.46612328</x:v>
      </x:c>
      <x:c r="W26" s="74" t="n">
        <x:f>W22-W25</x:f>
        <x:v>95829293.65447024</x:v>
      </x:c>
      <x:c r="X26" s="74" t="n">
        <x:f>X22-X25</x:f>
        <x:v>102988130.91310853</x:v>
      </x:c>
      <x:c r="Y26" s="74" t="n">
        <x:f>Y22-Y25</x:f>
        <x:v>109967997.24028075</x:v>
      </x:c>
      <x:c r="Z26" s="74" t="n">
        <x:f>Z22-Z25</x:f>
        <x:v>116773366.90927374</x:v>
      </x:c>
      <x:c r="AA26" s="74" t="n">
        <x:f>AA22-AA25</x:f>
        <x:v>123408602.33654192</x:v>
      </x:c>
      <x:c r="AB26" s="74" t="n">
        <x:f>AB22-AB25</x:f>
        <x:v>129877956.87812841</x:v>
      </x:c>
      <x:c r="AC26" s="74" t="n">
        <x:f>AC22-AC25</x:f>
        <x:v>136185577.55617517</x:v>
      </x:c>
      <x:c r="AD26" s="74" t="n">
        <x:f>AD22-AD25</x:f>
        <x:v>142335507.7172708</x:v>
      </x:c>
      <x:c r="AE26" s="74" t="n">
        <x:f>AE22-AE25</x:f>
        <x:v>148331689.62433895</x:v>
      </x:c>
      <x:c r="AF26" s="74" t="n">
        <x:f>AF22-AF25</x:f>
        <x:v>154177966.98373055</x:v>
      </x:c>
      <x:c r="AG26" s="74" t="n">
        <x:f>AG22-AG25</x:f>
        <x:v>159878087.40913728</x:v>
      </x:c>
      <x:c r="AH26" s="74" t="n">
        <x:f>AH22-AH25</x:f>
        <x:v>165435704.8239088</x:v>
      </x:c>
      <x:c r="AI26" s="74" t="n">
        <x:f>AI22-AI25</x:f>
        <x:v>170854381.80331117</x:v>
      </x:c>
      <x:c r="AJ26" s="74" t="n">
        <x:f>AJ22-AJ25</x:f>
        <x:v>176137591.8582284</x:v>
      </x:c>
      <x:c r="AK26" s="74" t="n">
        <x:f>AK22-AK25</x:f>
        <x:v>181288721.66177267</x:v>
      </x:c>
      <x:c r="AL26" s="74" t="n">
        <x:f>AL22-AL25</x:f>
        <x:v>186311073.22022837</x:v>
      </x:c>
    </x:row>
    <x:row r="27">
      <x:c r="A27" s="67" t="str">
        <x:v>Funding Inflow</x:v>
      </x:c>
      <x:c r="B27" s="67" t="str"/>
      <x:c r="C27" s="74" t="n">
        <x:f>IF(1='Assumptions'!$D$10,'Assumptions'!$D$9,0)</x:f>
        <x:v>1500000000</x:v>
      </x:c>
      <x:c r="D27" s="74" t="n">
        <x:f>IF(2='Assumptions'!$D$10,'Assumptions'!$D$9,0)</x:f>
        <x:v>0</x:v>
      </x:c>
      <x:c r="E27" s="74" t="n">
        <x:f>IF(3='Assumptions'!$D$10,'Assumptions'!$D$9,0)</x:f>
        <x:v>0</x:v>
      </x:c>
      <x:c r="F27" s="74" t="n">
        <x:f>IF(4='Assumptions'!$D$10,'Assumptions'!$D$9,0)</x:f>
        <x:v>0</x:v>
      </x:c>
      <x:c r="G27" s="74" t="n">
        <x:f>IF(5='Assumptions'!$D$10,'Assumptions'!$D$9,0)</x:f>
        <x:v>0</x:v>
      </x:c>
      <x:c r="H27" s="74" t="n">
        <x:f>IF(6='Assumptions'!$D$10,'Assumptions'!$D$9,0)</x:f>
        <x:v>0</x:v>
      </x:c>
      <x:c r="I27" s="74" t="n">
        <x:f>IF(7='Assumptions'!$D$10,'Assumptions'!$D$9,0)</x:f>
        <x:v>0</x:v>
      </x:c>
      <x:c r="J27" s="74" t="n">
        <x:f>IF(8='Assumptions'!$D$10,'Assumptions'!$D$9,0)</x:f>
        <x:v>0</x:v>
      </x:c>
      <x:c r="K27" s="74" t="n">
        <x:f>IF(9='Assumptions'!$D$10,'Assumptions'!$D$9,0)</x:f>
        <x:v>0</x:v>
      </x:c>
      <x:c r="L27" s="74" t="n">
        <x:f>IF(10='Assumptions'!$D$10,'Assumptions'!$D$9,0)</x:f>
        <x:v>0</x:v>
      </x:c>
      <x:c r="M27" s="74" t="n">
        <x:f>IF(11='Assumptions'!$D$10,'Assumptions'!$D$9,0)</x:f>
        <x:v>0</x:v>
      </x:c>
      <x:c r="N27" s="74" t="n">
        <x:f>IF(12='Assumptions'!$D$10,'Assumptions'!$D$9,0)</x:f>
        <x:v>0</x:v>
      </x:c>
      <x:c r="O27" s="74" t="n">
        <x:f>IF(13='Assumptions'!$D$10,'Assumptions'!$D$9,0)</x:f>
        <x:v>0</x:v>
      </x:c>
      <x:c r="P27" s="74" t="n">
        <x:f>IF(14='Assumptions'!$D$10,'Assumptions'!$D$9,0)</x:f>
        <x:v>0</x:v>
      </x:c>
      <x:c r="Q27" s="74" t="n">
        <x:f>IF(15='Assumptions'!$D$10,'Assumptions'!$D$9,0)</x:f>
        <x:v>0</x:v>
      </x:c>
      <x:c r="R27" s="74" t="n">
        <x:f>IF(16='Assumptions'!$D$10,'Assumptions'!$D$9,0)</x:f>
        <x:v>0</x:v>
      </x:c>
      <x:c r="S27" s="74" t="n">
        <x:f>IF(17='Assumptions'!$D$10,'Assumptions'!$D$9,0)</x:f>
        <x:v>0</x:v>
      </x:c>
      <x:c r="T27" s="74" t="n">
        <x:f>IF(18='Assumptions'!$D$10,'Assumptions'!$D$9,0)</x:f>
        <x:v>0</x:v>
      </x:c>
      <x:c r="U27" s="74" t="n">
        <x:f>IF(19='Assumptions'!$D$10,'Assumptions'!$D$9,0)</x:f>
        <x:v>0</x:v>
      </x:c>
      <x:c r="V27" s="74" t="n">
        <x:f>IF(20='Assumptions'!$D$10,'Assumptions'!$D$9,0)</x:f>
        <x:v>0</x:v>
      </x:c>
      <x:c r="W27" s="74" t="n">
        <x:f>IF(21='Assumptions'!$D$10,'Assumptions'!$D$9,0)</x:f>
        <x:v>0</x:v>
      </x:c>
      <x:c r="X27" s="74" t="n">
        <x:f>IF(22='Assumptions'!$D$10,'Assumptions'!$D$9,0)</x:f>
        <x:v>0</x:v>
      </x:c>
      <x:c r="Y27" s="74" t="n">
        <x:f>IF(23='Assumptions'!$D$10,'Assumptions'!$D$9,0)</x:f>
        <x:v>0</x:v>
      </x:c>
      <x:c r="Z27" s="74" t="n">
        <x:f>IF(24='Assumptions'!$D$10,'Assumptions'!$D$9,0)</x:f>
        <x:v>0</x:v>
      </x:c>
      <x:c r="AA27" s="74" t="n">
        <x:f>IF(25='Assumptions'!$D$10,'Assumptions'!$D$9,0)</x:f>
        <x:v>0</x:v>
      </x:c>
      <x:c r="AB27" s="74" t="n">
        <x:f>IF(26='Assumptions'!$D$10,'Assumptions'!$D$9,0)</x:f>
        <x:v>0</x:v>
      </x:c>
      <x:c r="AC27" s="74" t="n">
        <x:f>IF(27='Assumptions'!$D$10,'Assumptions'!$D$9,0)</x:f>
        <x:v>0</x:v>
      </x:c>
      <x:c r="AD27" s="74" t="n">
        <x:f>IF(28='Assumptions'!$D$10,'Assumptions'!$D$9,0)</x:f>
        <x:v>0</x:v>
      </x:c>
      <x:c r="AE27" s="74" t="n">
        <x:f>IF(29='Assumptions'!$D$10,'Assumptions'!$D$9,0)</x:f>
        <x:v>0</x:v>
      </x:c>
      <x:c r="AF27" s="74" t="n">
        <x:f>IF(30='Assumptions'!$D$10,'Assumptions'!$D$9,0)</x:f>
        <x:v>0</x:v>
      </x:c>
      <x:c r="AG27" s="74" t="n">
        <x:f>IF(31='Assumptions'!$D$10,'Assumptions'!$D$9,0)</x:f>
        <x:v>0</x:v>
      </x:c>
      <x:c r="AH27" s="74" t="n">
        <x:f>IF(32='Assumptions'!$D$10,'Assumptions'!$D$9,0)</x:f>
        <x:v>0</x:v>
      </x:c>
      <x:c r="AI27" s="74" t="n">
        <x:f>IF(33='Assumptions'!$D$10,'Assumptions'!$D$9,0)</x:f>
        <x:v>0</x:v>
      </x:c>
      <x:c r="AJ27" s="74" t="n">
        <x:f>IF(34='Assumptions'!$D$10,'Assumptions'!$D$9,0)</x:f>
        <x:v>0</x:v>
      </x:c>
      <x:c r="AK27" s="74" t="n">
        <x:f>IF(35='Assumptions'!$D$10,'Assumptions'!$D$9,0)</x:f>
        <x:v>0</x:v>
      </x:c>
      <x:c r="AL27" s="74" t="n">
        <x:f>IF(36='Assumptions'!$D$10,'Assumptions'!$D$9,0)</x:f>
        <x:v>0</x:v>
      </x:c>
    </x:row>
    <x:row r="28">
      <x:c r="A28" s="67" t="str">
        <x:v>Net Cash Flow</x:v>
      </x:c>
      <x:c r="B28" s="67" t="str"/>
      <x:c r="C28" s="74" t="n">
        <x:f>C26+C27</x:f>
        <x:v>1431580228.8</x:v>
      </x:c>
      <x:c r="D28" s="74" t="n">
        <x:f>D26+D27</x:f>
        <x:v>-68959276.92</x:v>
      </x:c>
      <x:c r="E28" s="74" t="n">
        <x:f>E26+E27</x:f>
        <x:v>-69485294.99700001</x:v>
      </x:c>
      <x:c r="F28" s="74" t="n">
        <x:f>F26+F27</x:f>
        <x:v>-58193593.022075</x:v>
      </x:c>
      <x:c r="G28" s="74" t="n">
        <x:f>G26+G27</x:f>
        <x:v>-47184183.59652312</x:v>
      </x:c>
      <x:c r="H28" s="74" t="n">
        <x:f>H26+H27</x:f>
        <x:v>-36450009.406610034</x:v>
      </x:c>
      <x:c r="I28" s="74" t="n">
        <x:f>I26+I27</x:f>
        <x:v>-25984189.57144478</x:v>
      </x:c>
      <x:c r="J28" s="74" t="n">
        <x:f>J26+J27</x:f>
        <x:v>-15780015.23215869</x:v>
      </x:c>
      <x:c r="K28" s="74" t="n">
        <x:f>K26+K27</x:f>
        <x:v>-5830945.251354724</x:v>
      </x:c>
      <x:c r="L28" s="74" t="n">
        <x:f>L26+L27</x:f>
        <x:v>3869397.9799291342</x:v>
      </x:c>
      <x:c r="M28" s="74" t="n">
        <x:f>M26+M27</x:f>
        <x:v>13327232.630430907</x:v>
      </x:c>
      <x:c r="N28" s="74" t="n">
        <x:f>N26+N27</x:f>
        <x:v>22548621.41467014</x:v>
      </x:c>
      <x:c r="O28" s="74" t="n">
        <x:f>O26+O27</x:f>
        <x:v>31539475.479303405</x:v>
      </x:c>
      <x:c r="P28" s="74" t="n">
        <x:f>P26+P27</x:f>
        <x:v>40305558.19232085</x:v>
      </x:c>
      <x:c r="Q28" s="74" t="n">
        <x:f>Q26+Q27</x:f>
        <x:v>48852488.83751282</x:v>
      </x:c>
      <x:c r="R28" s="74" t="n">
        <x:f>R26+R27</x:f>
        <x:v>57185746.216575</x:v>
      </x:c>
      <x:c r="S28" s="74" t="n">
        <x:f>S26+S27</x:f>
        <x:v>65310672.16116065</x:v>
      </x:c>
      <x:c r="T28" s="74" t="n">
        <x:f>T26+T27</x:f>
        <x:v>73232474.95713168</x:v>
      </x:c>
      <x:c r="U28" s="74" t="n">
        <x:f>U26+U27</x:f>
        <x:v>80956232.6832034</x:v>
      </x:c>
      <x:c r="V28" s="74" t="n">
        <x:f>V26+V27</x:f>
        <x:v>88486896.46612328</x:v>
      </x:c>
      <x:c r="W28" s="74" t="n">
        <x:f>W26+W27</x:f>
        <x:v>95829293.65447024</x:v>
      </x:c>
      <x:c r="X28" s="74" t="n">
        <x:f>X26+X27</x:f>
        <x:v>102988130.91310853</x:v>
      </x:c>
      <x:c r="Y28" s="74" t="n">
        <x:f>Y26+Y27</x:f>
        <x:v>109967997.24028075</x:v>
      </x:c>
      <x:c r="Z28" s="74" t="n">
        <x:f>Z26+Z27</x:f>
        <x:v>116773366.90927374</x:v>
      </x:c>
      <x:c r="AA28" s="74" t="n">
        <x:f>AA26+AA27</x:f>
        <x:v>123408602.33654192</x:v>
      </x:c>
      <x:c r="AB28" s="74" t="n">
        <x:f>AB26+AB27</x:f>
        <x:v>129877956.87812841</x:v>
      </x:c>
      <x:c r="AC28" s="74" t="n">
        <x:f>AC26+AC27</x:f>
        <x:v>136185577.55617517</x:v>
      </x:c>
      <x:c r="AD28" s="74" t="n">
        <x:f>AD26+AD27</x:f>
        <x:v>142335507.7172708</x:v>
      </x:c>
      <x:c r="AE28" s="74" t="n">
        <x:f>AE26+AE27</x:f>
        <x:v>148331689.62433895</x:v>
      </x:c>
      <x:c r="AF28" s="74" t="n">
        <x:f>AF26+AF27</x:f>
        <x:v>154177966.98373055</x:v>
      </x:c>
      <x:c r="AG28" s="74" t="n">
        <x:f>AG26+AG27</x:f>
        <x:v>159878087.40913728</x:v>
      </x:c>
      <x:c r="AH28" s="74" t="n">
        <x:f>AH26+AH27</x:f>
        <x:v>165435704.8239088</x:v>
      </x:c>
      <x:c r="AI28" s="74" t="n">
        <x:f>AI26+AI27</x:f>
        <x:v>170854381.80331117</x:v>
      </x:c>
      <x:c r="AJ28" s="74" t="n">
        <x:f>AJ26+AJ27</x:f>
        <x:v>176137591.8582284</x:v>
      </x:c>
      <x:c r="AK28" s="74" t="n">
        <x:f>AK26+AK27</x:f>
        <x:v>181288721.66177267</x:v>
      </x:c>
      <x:c r="AL28" s="74" t="n">
        <x:f>AL26+AL27</x:f>
        <x:v>186311073.22022837</x:v>
      </x:c>
    </x:row>
    <x:row r="29">
      <x:c r="A29" s="67" t="str">
        <x:v>Beginning Cash</x:v>
      </x:c>
      <x:c r="B29" s="67" t="str"/>
      <x:c r="C29" s="74" t="n">
        <x:f>'Assumptions'!$D$8</x:f>
        <x:v>500000000</x:v>
      </x:c>
      <x:c r="D29" s="74" t="n">
        <x:f>C30</x:f>
        <x:v>1931580228.8</x:v>
      </x:c>
      <x:c r="E29" s="74" t="n">
        <x:f>D30</x:f>
        <x:v>1862620951.8799999</x:v>
      </x:c>
      <x:c r="F29" s="74" t="n">
        <x:f>E30</x:f>
        <x:v>1793135656.883</x:v>
      </x:c>
      <x:c r="G29" s="74" t="n">
        <x:f>F30</x:f>
        <x:v>1734942063.860925</x:v>
      </x:c>
      <x:c r="H29" s="74" t="n">
        <x:f>G30</x:f>
        <x:v>1687757880.264402</x:v>
      </x:c>
      <x:c r="I29" s="74" t="n">
        <x:f>H30</x:f>
        <x:v>1651307870.857792</x:v>
      </x:c>
      <x:c r="J29" s="74" t="n">
        <x:f>I30</x:f>
        <x:v>1625323681.2863472</x:v>
      </x:c>
      <x:c r="K29" s="74" t="n">
        <x:f>J30</x:f>
        <x:v>1609543666.0541885</x:v>
      </x:c>
      <x:c r="L29" s="74" t="n">
        <x:f>K30</x:f>
        <x:v>1603712720.8028338</x:v>
      </x:c>
      <x:c r="M29" s="74" t="n">
        <x:f>L30</x:f>
        <x:v>1607582118.782763</x:v>
      </x:c>
      <x:c r="N29" s="74" t="n">
        <x:f>M30</x:f>
        <x:v>1620909351.413194</x:v>
      </x:c>
      <x:c r="O29" s="74" t="n">
        <x:f>N30</x:f>
        <x:v>1643457972.8278642</x:v>
      </x:c>
      <x:c r="P29" s="74" t="n">
        <x:f>O30</x:f>
        <x:v>1674997448.3071675</x:v>
      </x:c>
      <x:c r="Q29" s="74" t="n">
        <x:f>P30</x:f>
        <x:v>1715303006.4994884</x:v>
      </x:c>
      <x:c r="R29" s="74" t="n">
        <x:f>Q30</x:f>
        <x:v>1764155495.337001</x:v>
      </x:c>
      <x:c r="S29" s="74" t="n">
        <x:f>R30</x:f>
        <x:v>1821341241.553576</x:v>
      </x:c>
      <x:c r="T29" s="74" t="n">
        <x:f>S30</x:f>
        <x:v>1886651913.7147367</x:v>
      </x:c>
      <x:c r="U29" s="74" t="n">
        <x:f>T30</x:f>
        <x:v>1959884388.6718683</x:v>
      </x:c>
      <x:c r="V29" s="74" t="n">
        <x:f>U30</x:f>
        <x:v>2040840621.3550718</x:v>
      </x:c>
      <x:c r="W29" s="74" t="n">
        <x:f>V30</x:f>
        <x:v>2129327517.8211951</x:v>
      </x:c>
      <x:c r="X29" s="74" t="n">
        <x:f>W30</x:f>
        <x:v>2225156811.4756656</x:v>
      </x:c>
      <x:c r="Y29" s="74" t="n">
        <x:f>X30</x:f>
        <x:v>2328144942.388774</x:v>
      </x:c>
      <x:c r="Z29" s="74" t="n">
        <x:f>Y30</x:f>
        <x:v>2438112939.6290545</x:v>
      </x:c>
      <x:c r="AA29" s="74" t="n">
        <x:f>Z30</x:f>
        <x:v>2554886306.538328</x:v>
      </x:c>
      <x:c r="AB29" s="74" t="n">
        <x:f>AA30</x:f>
        <x:v>2678294908.8748703</x:v>
      </x:c>
      <x:c r="AC29" s="74" t="n">
        <x:f>AB30</x:f>
        <x:v>2808172865.752999</x:v>
      </x:c>
      <x:c r="AD29" s="74" t="n">
        <x:f>AC30</x:f>
        <x:v>2944358443.309174</x:v>
      </x:c>
      <x:c r="AE29" s="74" t="n">
        <x:f>AD30</x:f>
        <x:v>3086693951.026445</x:v>
      </x:c>
      <x:c r="AF29" s="74" t="n">
        <x:f>AE30</x:f>
        <x:v>3235025640.650784</x:v>
      </x:c>
      <x:c r="AG29" s="74" t="n">
        <x:f>AF30</x:f>
        <x:v>3389203607.634515</x:v>
      </x:c>
      <x:c r="AH29" s="74" t="n">
        <x:f>AG30</x:f>
        <x:v>3549081695.043652</x:v>
      </x:c>
      <x:c r="AI29" s="74" t="n">
        <x:f>AH30</x:f>
        <x:v>3714517399.867561</x:v>
      </x:c>
      <x:c r="AJ29" s="74" t="n">
        <x:f>AI30</x:f>
        <x:v>3885371781.670872</x:v>
      </x:c>
      <x:c r="AK29" s="74" t="n">
        <x:f>AJ30</x:f>
        <x:v>4061509373.5291004</x:v>
      </x:c>
      <x:c r="AL29" s="74" t="n">
        <x:f>AK30</x:f>
        <x:v>4242798095.190873</x:v>
      </x:c>
    </x:row>
    <x:row r="30">
      <x:c r="A30" s="67" t="str">
        <x:v>Ending Cash</x:v>
      </x:c>
      <x:c r="B30" s="67" t="str"/>
      <x:c r="C30" s="76" t="n">
        <x:f>C29+C28</x:f>
        <x:v>1931580228.8</x:v>
      </x:c>
      <x:c r="D30" s="76" t="n">
        <x:f>D29+D28</x:f>
        <x:v>1862620951.8799999</x:v>
      </x:c>
      <x:c r="E30" s="76" t="n">
        <x:f>E29+E28</x:f>
        <x:v>1793135656.883</x:v>
      </x:c>
      <x:c r="F30" s="76" t="n">
        <x:f>F29+F28</x:f>
        <x:v>1734942063.860925</x:v>
      </x:c>
      <x:c r="G30" s="76" t="n">
        <x:f>G29+G28</x:f>
        <x:v>1687757880.264402</x:v>
      </x:c>
      <x:c r="H30" s="76" t="n">
        <x:f>H29+H28</x:f>
        <x:v>1651307870.857792</x:v>
      </x:c>
      <x:c r="I30" s="76" t="n">
        <x:f>I29+I28</x:f>
        <x:v>1625323681.2863472</x:v>
      </x:c>
      <x:c r="J30" s="76" t="n">
        <x:f>J29+J28</x:f>
        <x:v>1609543666.0541885</x:v>
      </x:c>
      <x:c r="K30" s="76" t="n">
        <x:f>K29+K28</x:f>
        <x:v>1603712720.8028338</x:v>
      </x:c>
      <x:c r="L30" s="76" t="n">
        <x:f>L29+L28</x:f>
        <x:v>1607582118.782763</x:v>
      </x:c>
      <x:c r="M30" s="76" t="n">
        <x:f>M29+M28</x:f>
        <x:v>1620909351.413194</x:v>
      </x:c>
      <x:c r="N30" s="76" t="n">
        <x:f>N29+N28</x:f>
        <x:v>1643457972.8278642</x:v>
      </x:c>
      <x:c r="O30" s="76" t="n">
        <x:f>O29+O28</x:f>
        <x:v>1674997448.3071675</x:v>
      </x:c>
      <x:c r="P30" s="76" t="n">
        <x:f>P29+P28</x:f>
        <x:v>1715303006.4994884</x:v>
      </x:c>
      <x:c r="Q30" s="76" t="n">
        <x:f>Q29+Q28</x:f>
        <x:v>1764155495.337001</x:v>
      </x:c>
      <x:c r="R30" s="76" t="n">
        <x:f>R29+R28</x:f>
        <x:v>1821341241.553576</x:v>
      </x:c>
      <x:c r="S30" s="76" t="n">
        <x:f>S29+S28</x:f>
        <x:v>1886651913.7147367</x:v>
      </x:c>
      <x:c r="T30" s="76" t="n">
        <x:f>T29+T28</x:f>
        <x:v>1959884388.6718683</x:v>
      </x:c>
      <x:c r="U30" s="76" t="n">
        <x:f>U29+U28</x:f>
        <x:v>2040840621.3550718</x:v>
      </x:c>
      <x:c r="V30" s="76" t="n">
        <x:f>V29+V28</x:f>
        <x:v>2129327517.8211951</x:v>
      </x:c>
      <x:c r="W30" s="76" t="n">
        <x:f>W29+W28</x:f>
        <x:v>2225156811.4756656</x:v>
      </x:c>
      <x:c r="X30" s="76" t="n">
        <x:f>X29+X28</x:f>
        <x:v>2328144942.388774</x:v>
      </x:c>
      <x:c r="Y30" s="76" t="n">
        <x:f>Y29+Y28</x:f>
        <x:v>2438112939.6290545</x:v>
      </x:c>
      <x:c r="Z30" s="76" t="n">
        <x:f>Z29+Z28</x:f>
        <x:v>2554886306.538328</x:v>
      </x:c>
      <x:c r="AA30" s="76" t="n">
        <x:f>AA29+AA28</x:f>
        <x:v>2678294908.8748703</x:v>
      </x:c>
      <x:c r="AB30" s="76" t="n">
        <x:f>AB29+AB28</x:f>
        <x:v>2808172865.752999</x:v>
      </x:c>
      <x:c r="AC30" s="76" t="n">
        <x:f>AC29+AC28</x:f>
        <x:v>2944358443.309174</x:v>
      </x:c>
      <x:c r="AD30" s="76" t="n">
        <x:f>AD29+AD28</x:f>
        <x:v>3086693951.026445</x:v>
      </x:c>
      <x:c r="AE30" s="76" t="n">
        <x:f>AE29+AE28</x:f>
        <x:v>3235025640.650784</x:v>
      </x:c>
      <x:c r="AF30" s="76" t="n">
        <x:f>AF29+AF28</x:f>
        <x:v>3389203607.634515</x:v>
      </x:c>
      <x:c r="AG30" s="76" t="n">
        <x:f>AG29+AG28</x:f>
        <x:v>3549081695.043652</x:v>
      </x:c>
      <x:c r="AH30" s="76" t="n">
        <x:f>AH29+AH28</x:f>
        <x:v>3714517399.867561</x:v>
      </x:c>
      <x:c r="AI30" s="76" t="n">
        <x:f>AI29+AI28</x:f>
        <x:v>3885371781.670872</x:v>
      </x:c>
      <x:c r="AJ30" s="76" t="n">
        <x:f>AJ29+AJ28</x:f>
        <x:v>4061509373.5291004</x:v>
      </x:c>
      <x:c r="AK30" s="76" t="n">
        <x:f>AK29+AK28</x:f>
        <x:v>4242798095.190873</x:v>
      </x:c>
      <x:c r="AL30" s="76" t="n">
        <x:f>AL29+AL28</x:f>
        <x:v>4429109168.411101</x:v>
      </x:c>
    </x:row>
    <x:row r="31">
      <x:c r="A31" s="67" t="str">
        <x:v>Monthly Net Burn</x:v>
      </x:c>
      <x:c r="B31" s="67" t="str"/>
      <x:c r="C31" s="76" t="n">
        <x:f>MAX(0,-C26)</x:f>
        <x:v>68419771.2</x:v>
      </x:c>
      <x:c r="D31" s="76" t="n">
        <x:f>MAX(0,-D26)</x:f>
        <x:v>68959276.92</x:v>
      </x:c>
      <x:c r="E31" s="76" t="n">
        <x:f>MAX(0,-E26)</x:f>
        <x:v>69485294.99700001</x:v>
      </x:c>
      <x:c r="F31" s="76" t="n">
        <x:f>MAX(0,-F26)</x:f>
        <x:v>58193593.022075</x:v>
      </x:c>
      <x:c r="G31" s="76" t="n">
        <x:f>MAX(0,-G26)</x:f>
        <x:v>47184183.59652312</x:v>
      </x:c>
      <x:c r="H31" s="76" t="n">
        <x:f>MAX(0,-H26)</x:f>
        <x:v>36450009.406610034</x:v>
      </x:c>
      <x:c r="I31" s="76" t="n">
        <x:f>MAX(0,-I26)</x:f>
        <x:v>25984189.57144478</x:v>
      </x:c>
      <x:c r="J31" s="76" t="n">
        <x:f>MAX(0,-J26)</x:f>
        <x:v>15780015.23215869</x:v>
      </x:c>
      <x:c r="K31" s="76" t="n">
        <x:f>MAX(0,-K26)</x:f>
        <x:v>5830945.251354724</x:v>
      </x:c>
      <x:c r="L31" s="76" t="n">
        <x:f>MAX(0,-L26)</x:f>
        <x:v>0</x:v>
      </x:c>
      <x:c r="M31" s="76" t="n">
        <x:f>MAX(0,-M26)</x:f>
        <x:v>0</x:v>
      </x:c>
      <x:c r="N31" s="76" t="n">
        <x:f>MAX(0,-N26)</x:f>
        <x:v>0</x:v>
      </x:c>
      <x:c r="O31" s="76" t="n">
        <x:f>MAX(0,-O26)</x:f>
        <x:v>0</x:v>
      </x:c>
      <x:c r="P31" s="76" t="n">
        <x:f>MAX(0,-P26)</x:f>
        <x:v>0</x:v>
      </x:c>
      <x:c r="Q31" s="76" t="n">
        <x:f>MAX(0,-Q26)</x:f>
        <x:v>0</x:v>
      </x:c>
      <x:c r="R31" s="76" t="n">
        <x:f>MAX(0,-R26)</x:f>
        <x:v>0</x:v>
      </x:c>
      <x:c r="S31" s="76" t="n">
        <x:f>MAX(0,-S26)</x:f>
        <x:v>0</x:v>
      </x:c>
      <x:c r="T31" s="76" t="n">
        <x:f>MAX(0,-T26)</x:f>
        <x:v>0</x:v>
      </x:c>
      <x:c r="U31" s="76" t="n">
        <x:f>MAX(0,-U26)</x:f>
        <x:v>0</x:v>
      </x:c>
      <x:c r="V31" s="76" t="n">
        <x:f>MAX(0,-V26)</x:f>
        <x:v>0</x:v>
      </x:c>
      <x:c r="W31" s="76" t="n">
        <x:f>MAX(0,-W26)</x:f>
        <x:v>0</x:v>
      </x:c>
      <x:c r="X31" s="76" t="n">
        <x:f>MAX(0,-X26)</x:f>
        <x:v>0</x:v>
      </x:c>
      <x:c r="Y31" s="76" t="n">
        <x:f>MAX(0,-Y26)</x:f>
        <x:v>0</x:v>
      </x:c>
      <x:c r="Z31" s="76" t="n">
        <x:f>MAX(0,-Z26)</x:f>
        <x:v>0</x:v>
      </x:c>
      <x:c r="AA31" s="76" t="n">
        <x:f>MAX(0,-AA26)</x:f>
        <x:v>0</x:v>
      </x:c>
      <x:c r="AB31" s="76" t="n">
        <x:f>MAX(0,-AB26)</x:f>
        <x:v>0</x:v>
      </x:c>
      <x:c r="AC31" s="76" t="n">
        <x:f>MAX(0,-AC26)</x:f>
        <x:v>0</x:v>
      </x:c>
      <x:c r="AD31" s="76" t="n">
        <x:f>MAX(0,-AD26)</x:f>
        <x:v>0</x:v>
      </x:c>
      <x:c r="AE31" s="76" t="n">
        <x:f>MAX(0,-AE26)</x:f>
        <x:v>0</x:v>
      </x:c>
      <x:c r="AF31" s="76" t="n">
        <x:f>MAX(0,-AF26)</x:f>
        <x:v>0</x:v>
      </x:c>
      <x:c r="AG31" s="76" t="n">
        <x:f>MAX(0,-AG26)</x:f>
        <x:v>0</x:v>
      </x:c>
      <x:c r="AH31" s="76" t="n">
        <x:f>MAX(0,-AH26)</x:f>
        <x:v>0</x:v>
      </x:c>
      <x:c r="AI31" s="76" t="n">
        <x:f>MAX(0,-AI26)</x:f>
        <x:v>0</x:v>
      </x:c>
      <x:c r="AJ31" s="76" t="n">
        <x:f>MAX(0,-AJ26)</x:f>
        <x:v>0</x:v>
      </x:c>
      <x:c r="AK31" s="76" t="n">
        <x:f>MAX(0,-AK26)</x:f>
        <x:v>0</x:v>
      </x:c>
      <x:c r="AL31" s="76" t="n">
        <x:f>MAX(0,-AL26)</x:f>
        <x:v>0</x:v>
      </x:c>
    </x:row>
    <x:row r="32">
      <x:c r="A32" s="67" t="str">
        <x:v>Runway at Current Burn</x:v>
      </x:c>
      <x:c r="B32" s="67" t="str"/>
      <x:c r="C32" s="79" t="n">
        <x:f>IF(C31=0,999,MAX(0,C30/C31))</x:f>
        <x:v>28.231316692856755</x:v>
      </x:c>
      <x:c r="D32" s="79" t="n">
        <x:f>IF(D31=0,999,MAX(0,D30/D31))</x:f>
        <x:v>27.010447833448655</x:v>
      </x:c>
      <x:c r="E32" s="79" t="n">
        <x:f>IF(E31=0,999,MAX(0,E30/E31))</x:f>
        <x:v>25.805973148137568</x:v>
      </x:c>
      <x:c r="F32" s="79" t="n">
        <x:f>IF(F31=0,999,MAX(0,F30/F31))</x:f>
        <x:v>29.81328310837925</x:v>
      </x:c>
      <x:c r="G32" s="79" t="n">
        <x:f>IF(G31=0,999,MAX(0,G30/G31))</x:f>
        <x:v>35.76956835147548</x:v>
      </x:c>
      <x:c r="H32" s="79" t="n">
        <x:f>IF(H31=0,999,MAX(0,H30/H31))</x:f>
        <x:v>45.30335925121422</x:v>
      </x:c>
      <x:c r="I32" s="79" t="n">
        <x:f>IF(I31=0,999,MAX(0,I30/I31))</x:f>
        <x:v>62.5504858182104</x:v>
      </x:c>
      <x:c r="J32" s="79" t="n">
        <x:f>IF(J31=0,999,MAX(0,J30/J31))</x:f>
        <x:v>101.99886643797646</x:v>
      </x:c>
      <x:c r="K32" s="79" t="n">
        <x:f>IF(K31=0,999,MAX(0,K30/K31))</x:f>
        <x:v>275.0347759533907</x:v>
      </x:c>
      <x:c r="L32" s="79" t="n">
        <x:f>IF(L31=0,999,MAX(0,L30/L31))</x:f>
        <x:v>999</x:v>
      </x:c>
      <x:c r="M32" s="79" t="n">
        <x:f>IF(M31=0,999,MAX(0,M30/M31))</x:f>
        <x:v>999</x:v>
      </x:c>
      <x:c r="N32" s="79" t="n">
        <x:f>IF(N31=0,999,MAX(0,N30/N31))</x:f>
        <x:v>999</x:v>
      </x:c>
      <x:c r="O32" s="79" t="n">
        <x:f>IF(O31=0,999,MAX(0,O30/O31))</x:f>
        <x:v>999</x:v>
      </x:c>
      <x:c r="P32" s="79" t="n">
        <x:f>IF(P31=0,999,MAX(0,P30/P31))</x:f>
        <x:v>999</x:v>
      </x:c>
      <x:c r="Q32" s="79" t="n">
        <x:f>IF(Q31=0,999,MAX(0,Q30/Q31))</x:f>
        <x:v>999</x:v>
      </x:c>
      <x:c r="R32" s="79" t="n">
        <x:f>IF(R31=0,999,MAX(0,R30/R31))</x:f>
        <x:v>999</x:v>
      </x:c>
      <x:c r="S32" s="79" t="n">
        <x:f>IF(S31=0,999,MAX(0,S30/S31))</x:f>
        <x:v>999</x:v>
      </x:c>
      <x:c r="T32" s="79" t="n">
        <x:f>IF(T31=0,999,MAX(0,T30/T31))</x:f>
        <x:v>999</x:v>
      </x:c>
      <x:c r="U32" s="79" t="n">
        <x:f>IF(U31=0,999,MAX(0,U30/U31))</x:f>
        <x:v>999</x:v>
      </x:c>
      <x:c r="V32" s="79" t="n">
        <x:f>IF(V31=0,999,MAX(0,V30/V31))</x:f>
        <x:v>999</x:v>
      </x:c>
      <x:c r="W32" s="79" t="n">
        <x:f>IF(W31=0,999,MAX(0,W30/W31))</x:f>
        <x:v>999</x:v>
      </x:c>
      <x:c r="X32" s="79" t="n">
        <x:f>IF(X31=0,999,MAX(0,X30/X31))</x:f>
        <x:v>999</x:v>
      </x:c>
      <x:c r="Y32" s="79" t="n">
        <x:f>IF(Y31=0,999,MAX(0,Y30/Y31))</x:f>
        <x:v>999</x:v>
      </x:c>
      <x:c r="Z32" s="79" t="n">
        <x:f>IF(Z31=0,999,MAX(0,Z30/Z31))</x:f>
        <x:v>999</x:v>
      </x:c>
      <x:c r="AA32" s="79" t="n">
        <x:f>IF(AA31=0,999,MAX(0,AA30/AA31))</x:f>
        <x:v>999</x:v>
      </x:c>
      <x:c r="AB32" s="79" t="n">
        <x:f>IF(AB31=0,999,MAX(0,AB30/AB31))</x:f>
        <x:v>999</x:v>
      </x:c>
      <x:c r="AC32" s="79" t="n">
        <x:f>IF(AC31=0,999,MAX(0,AC30/AC31))</x:f>
        <x:v>999</x:v>
      </x:c>
      <x:c r="AD32" s="79" t="n">
        <x:f>IF(AD31=0,999,MAX(0,AD30/AD31))</x:f>
        <x:v>999</x:v>
      </x:c>
      <x:c r="AE32" s="79" t="n">
        <x:f>IF(AE31=0,999,MAX(0,AE30/AE31))</x:f>
        <x:v>999</x:v>
      </x:c>
      <x:c r="AF32" s="79" t="n">
        <x:f>IF(AF31=0,999,MAX(0,AF30/AF31))</x:f>
        <x:v>999</x:v>
      </x:c>
      <x:c r="AG32" s="79" t="n">
        <x:f>IF(AG31=0,999,MAX(0,AG30/AG31))</x:f>
        <x:v>999</x:v>
      </x:c>
      <x:c r="AH32" s="79" t="n">
        <x:f>IF(AH31=0,999,MAX(0,AH30/AH31))</x:f>
        <x:v>999</x:v>
      </x:c>
      <x:c r="AI32" s="79" t="n">
        <x:f>IF(AI31=0,999,MAX(0,AI30/AI31))</x:f>
        <x:v>999</x:v>
      </x:c>
      <x:c r="AJ32" s="79" t="n">
        <x:f>IF(AJ31=0,999,MAX(0,AJ30/AJ31))</x:f>
        <x:v>999</x:v>
      </x:c>
      <x:c r="AK32" s="79" t="n">
        <x:f>IF(AK31=0,999,MAX(0,AK30/AK31))</x:f>
        <x:v>999</x:v>
      </x:c>
      <x:c r="AL32" s="79" t="n">
        <x:f>IF(AL31=0,999,MAX(0,AL30/AL31))</x:f>
        <x:v>999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</x:row>
    <x:row r="38">
      <x:c r="A38" s="80" t="str">
        <x:v>Downside Scenario Engine</x:v>
      </x:c>
      <x:c r="B38" s="80"/>
      <x:c r="C38" s="80"/>
      <x:c r="D38" s="80"/>
      <x:c r="E38" s="80"/>
      <x:c r="F38" s="80"/>
      <x:c r="G38" s="80"/>
      <x:c r="H38" s="80"/>
      <x:c r="I38" s="80"/>
      <x:c r="J38" s="80"/>
      <x:c r="K38" s="80"/>
      <x:c r="L38" s="80"/>
      <x:c r="M38" s="80"/>
      <x:c r="N38" s="80"/>
      <x:c r="O38" s="80"/>
      <x:c r="P38" s="80"/>
      <x:c r="Q38" s="80"/>
      <x:c r="R38" s="80"/>
      <x:c r="S38" s="80"/>
      <x:c r="T38" s="80"/>
      <x:c r="U38" s="80"/>
      <x:c r="V38" s="80"/>
      <x:c r="W38" s="80"/>
      <x:c r="X38" s="80"/>
      <x:c r="Y38" s="80"/>
      <x:c r="Z38" s="80"/>
      <x:c r="AA38" s="80"/>
      <x:c r="AB38" s="80"/>
      <x:c r="AC38" s="80"/>
      <x:c r="AD38" s="80"/>
      <x:c r="AE38" s="80"/>
      <x:c r="AF38" s="80"/>
      <x:c r="AG38" s="80"/>
      <x:c r="AH38" s="80"/>
      <x:c r="AI38" s="80"/>
      <x:c r="AJ38" s="80"/>
      <x:c r="AK38" s="80"/>
      <x:c r="AL38" s="80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</x:row>
    <x:row r="40">
      <x:c r="A40" s="14" t="str">
        <x:v>Beginning Customers</x:v>
      </x:c>
      <x:c r="B40" s="14" t="str"/>
      <x:c r="C40" s="73" t="n">
        <x:f>'Assumptions'!$D$7</x:f>
        <x:v>3</x:v>
      </x:c>
      <x:c r="D40" s="73" t="n">
        <x:f>C43</x:f>
        <x:v>2.88</x:v>
      </x:c>
      <x:c r="E40" s="73" t="n">
        <x:f>D43</x:f>
        <x:v>2.7647999999999997</x:v>
      </x:c>
      <x:c r="F40" s="73" t="n">
        <x:f>E43</x:f>
        <x:v>2.6542079999999997</x:v>
      </x:c>
      <x:c r="G40" s="73" t="n">
        <x:f>F43</x:f>
        <x:v>2.7480396799999998</x:v>
      </x:c>
      <x:c r="H40" s="73" t="n">
        <x:f>G43</x:f>
        <x:v>2.8381180928</x:v>
      </x:c>
      <x:c r="I40" s="73" t="n">
        <x:f>H43</x:f>
        <x:v>2.924593369088</x:v>
      </x:c>
      <x:c r="J40" s="73" t="n">
        <x:f>I43</x:f>
        <x:v>3.00760963432448</x:v>
      </x:c>
      <x:c r="K40" s="73" t="n">
        <x:f>J43</x:f>
        <x:v>3.087305248951501</x:v>
      </x:c>
      <x:c r="L40" s="73" t="n">
        <x:f>K43</x:f>
        <x:v>3.163813038993441</x:v>
      </x:c>
      <x:c r="M40" s="73" t="n">
        <x:f>L43</x:f>
        <x:v>3.2372605174337035</x:v>
      </x:c>
      <x:c r="N40" s="73" t="n">
        <x:f>M43</x:f>
        <x:v>3.3077700967363555</x:v>
      </x:c>
      <x:c r="O40" s="73" t="n">
        <x:f>N43</x:f>
        <x:v>3.3754592928669016</x:v>
      </x:c>
      <x:c r="P40" s="73" t="n">
        <x:f>O43</x:f>
        <x:v>3.4404409211522258</x:v>
      </x:c>
      <x:c r="Q40" s="73" t="n">
        <x:f>P43</x:f>
        <x:v>3.502823284306137</x:v>
      </x:c>
      <x:c r="R40" s="73" t="n">
        <x:f>Q43</x:f>
        <x:v>3.562710352933892</x:v>
      </x:c>
      <x:c r="S40" s="73" t="n">
        <x:f>R43</x:f>
        <x:v>3.6202019388165363</x:v>
      </x:c>
      <x:c r="T40" s="73" t="n">
        <x:f>S43</x:f>
        <x:v>3.675393861263875</x:v>
      </x:c>
      <x:c r="U40" s="73" t="n">
        <x:f>T43</x:f>
        <x:v>3.72837810681332</x:v>
      </x:c>
      <x:c r="V40" s="73" t="n">
        <x:f>U43</x:f>
        <x:v>3.7792429825407874</x:v>
      </x:c>
      <x:c r="W40" s="73" t="n">
        <x:f>V43</x:f>
        <x:v>3.828073263239156</x:v>
      </x:c>
      <x:c r="X40" s="73" t="n">
        <x:f>W43</x:f>
        <x:v>3.8749503327095898</x:v>
      </x:c>
      <x:c r="Y40" s="73" t="n">
        <x:f>X43</x:f>
        <x:v>3.9199523194012063</x:v>
      </x:c>
      <x:c r="Z40" s="73" t="n">
        <x:f>Y43</x:f>
        <x:v>3.963154226625158</x:v>
      </x:c>
      <x:c r="AA40" s="73" t="n">
        <x:f>Z43</x:f>
        <x:v>4.004628057560152</x:v>
      </x:c>
      <x:c r="AB40" s="73" t="n">
        <x:f>AA43</x:f>
        <x:v>4.044442935257746</x:v>
      </x:c>
      <x:c r="AC40" s="73" t="n">
        <x:f>AB43</x:f>
        <x:v>4.0826652178474365</x:v>
      </x:c>
      <x:c r="AD40" s="73" t="n">
        <x:f>AC43</x:f>
        <x:v>4.119358609133539</x:v>
      </x:c>
      <x:c r="AE40" s="73" t="n">
        <x:f>AD43</x:f>
        <x:v>4.154584264768197</x:v>
      </x:c>
      <x:c r="AF40" s="73" t="n">
        <x:f>AE43</x:f>
        <x:v>4.1884008941774695</x:v>
      </x:c>
      <x:c r="AG40" s="73" t="n">
        <x:f>AF43</x:f>
        <x:v>4.220864858410371</x:v>
      </x:c>
      <x:c r="AH40" s="73" t="n">
        <x:f>AG43</x:f>
        <x:v>4.252030264073956</x:v>
      </x:c>
      <x:c r="AI40" s="73" t="n">
        <x:f>AH43</x:f>
        <x:v>4.281949053510998</x:v>
      </x:c>
      <x:c r="AJ40" s="73" t="n">
        <x:f>AI43</x:f>
        <x:v>4.310671091370558</x:v>
      </x:c>
      <x:c r="AK40" s="73" t="n">
        <x:f>AJ43</x:f>
        <x:v>4.338244247715736</x:v>
      </x:c>
      <x:c r="AL40" s="73" t="n">
        <x:f>AK43</x:f>
        <x:v>4.364714477807107</x:v>
      </x:c>
    </x:row>
    <x:row r="41">
      <x:c r="A41" s="14" t="str">
        <x:v>New Customers</x:v>
      </x:c>
      <x:c r="B41" s="14" t="str"/>
      <x:c r="C41" s="73" t="n">
        <x:f>IF(1&lt;='Assumptions'!$D$11,0,INDEX('Assumptions'!$C$19:$AL$19,1,1-'Assumptions'!$D$11)*INDEX('Assumptions'!$C$24:$AL$24,1,1-'Assumptions'!$D$11)*INDEX('Assumptions'!$C$29:$AL$29,1,1-'Assumptions'!$D$11))</x:f>
        <x:v>0</x:v>
      </x:c>
      <x:c r="D41" s="73" t="n">
        <x:f>IF(2&lt;='Assumptions'!$D$11,0,INDEX('Assumptions'!$C$19:$AL$19,1,2-'Assumptions'!$D$11)*INDEX('Assumptions'!$C$24:$AL$24,1,2-'Assumptions'!$D$11)*INDEX('Assumptions'!$C$29:$AL$29,1,2-'Assumptions'!$D$11))</x:f>
        <x:v>0</x:v>
      </x:c>
      <x:c r="E41" s="73" t="n">
        <x:f>IF(3&lt;='Assumptions'!$D$11,0,INDEX('Assumptions'!$C$19:$AL$19,1,3-'Assumptions'!$D$11)*INDEX('Assumptions'!$C$24:$AL$24,1,3-'Assumptions'!$D$11)*INDEX('Assumptions'!$C$29:$AL$29,1,3-'Assumptions'!$D$11))</x:f>
        <x:v>0</x:v>
      </x:c>
      <x:c r="F41" s="73" t="n">
        <x:f>IF(4&lt;='Assumptions'!$D$11,0,INDEX('Assumptions'!$C$19:$AL$19,1,4-'Assumptions'!$D$11)*INDEX('Assumptions'!$C$24:$AL$24,1,4-'Assumptions'!$D$11)*INDEX('Assumptions'!$C$29:$AL$29,1,4-'Assumptions'!$D$11))</x:f>
        <x:v>0.2</x:v>
      </x:c>
      <x:c r="G41" s="73" t="n">
        <x:f>IF(5&lt;='Assumptions'!$D$11,0,INDEX('Assumptions'!$C$19:$AL$19,1,5-'Assumptions'!$D$11)*INDEX('Assumptions'!$C$24:$AL$24,1,5-'Assumptions'!$D$11)*INDEX('Assumptions'!$C$29:$AL$29,1,5-'Assumptions'!$D$11))</x:f>
        <x:v>0.2</x:v>
      </x:c>
      <x:c r="H41" s="73" t="n">
        <x:f>IF(6&lt;='Assumptions'!$D$11,0,INDEX('Assumptions'!$C$19:$AL$19,1,6-'Assumptions'!$D$11)*INDEX('Assumptions'!$C$24:$AL$24,1,6-'Assumptions'!$D$11)*INDEX('Assumptions'!$C$29:$AL$29,1,6-'Assumptions'!$D$11))</x:f>
        <x:v>0.2</x:v>
      </x:c>
      <x:c r="I41" s="73" t="n">
        <x:f>IF(7&lt;='Assumptions'!$D$11,0,INDEX('Assumptions'!$C$19:$AL$19,1,7-'Assumptions'!$D$11)*INDEX('Assumptions'!$C$24:$AL$24,1,7-'Assumptions'!$D$11)*INDEX('Assumptions'!$C$29:$AL$29,1,7-'Assumptions'!$D$11))</x:f>
        <x:v>0.2</x:v>
      </x:c>
      <x:c r="J41" s="73" t="n">
        <x:f>IF(8&lt;='Assumptions'!$D$11,0,INDEX('Assumptions'!$C$19:$AL$19,1,8-'Assumptions'!$D$11)*INDEX('Assumptions'!$C$24:$AL$24,1,8-'Assumptions'!$D$11)*INDEX('Assumptions'!$C$29:$AL$29,1,8-'Assumptions'!$D$11))</x:f>
        <x:v>0.2</x:v>
      </x:c>
      <x:c r="K41" s="73" t="n">
        <x:f>IF(9&lt;='Assumptions'!$D$11,0,INDEX('Assumptions'!$C$19:$AL$19,1,9-'Assumptions'!$D$11)*INDEX('Assumptions'!$C$24:$AL$24,1,9-'Assumptions'!$D$11)*INDEX('Assumptions'!$C$29:$AL$29,1,9-'Assumptions'!$D$11))</x:f>
        <x:v>0.2</x:v>
      </x:c>
      <x:c r="L41" s="73" t="n">
        <x:f>IF(10&lt;='Assumptions'!$D$11,0,INDEX('Assumptions'!$C$19:$AL$19,1,10-'Assumptions'!$D$11)*INDEX('Assumptions'!$C$24:$AL$24,1,10-'Assumptions'!$D$11)*INDEX('Assumptions'!$C$29:$AL$29,1,10-'Assumptions'!$D$11))</x:f>
        <x:v>0.2</x:v>
      </x:c>
      <x:c r="M41" s="73" t="n">
        <x:f>IF(11&lt;='Assumptions'!$D$11,0,INDEX('Assumptions'!$C$19:$AL$19,1,11-'Assumptions'!$D$11)*INDEX('Assumptions'!$C$24:$AL$24,1,11-'Assumptions'!$D$11)*INDEX('Assumptions'!$C$29:$AL$29,1,11-'Assumptions'!$D$11))</x:f>
        <x:v>0.2</x:v>
      </x:c>
      <x:c r="N41" s="73" t="n">
        <x:f>IF(12&lt;='Assumptions'!$D$11,0,INDEX('Assumptions'!$C$19:$AL$19,1,12-'Assumptions'!$D$11)*INDEX('Assumptions'!$C$24:$AL$24,1,12-'Assumptions'!$D$11)*INDEX('Assumptions'!$C$29:$AL$29,1,12-'Assumptions'!$D$11))</x:f>
        <x:v>0.2</x:v>
      </x:c>
      <x:c r="O41" s="73" t="n">
        <x:f>IF(13&lt;='Assumptions'!$D$11,0,INDEX('Assumptions'!$C$19:$AL$19,1,13-'Assumptions'!$D$11)*INDEX('Assumptions'!$C$24:$AL$24,1,13-'Assumptions'!$D$11)*INDEX('Assumptions'!$C$29:$AL$29,1,13-'Assumptions'!$D$11))</x:f>
        <x:v>0.2</x:v>
      </x:c>
      <x:c r="P41" s="73" t="n">
        <x:f>IF(14&lt;='Assumptions'!$D$11,0,INDEX('Assumptions'!$C$19:$AL$19,1,14-'Assumptions'!$D$11)*INDEX('Assumptions'!$C$24:$AL$24,1,14-'Assumptions'!$D$11)*INDEX('Assumptions'!$C$29:$AL$29,1,14-'Assumptions'!$D$11))</x:f>
        <x:v>0.2</x:v>
      </x:c>
      <x:c r="Q41" s="73" t="n">
        <x:f>IF(15&lt;='Assumptions'!$D$11,0,INDEX('Assumptions'!$C$19:$AL$19,1,15-'Assumptions'!$D$11)*INDEX('Assumptions'!$C$24:$AL$24,1,15-'Assumptions'!$D$11)*INDEX('Assumptions'!$C$29:$AL$29,1,15-'Assumptions'!$D$11))</x:f>
        <x:v>0.2</x:v>
      </x:c>
      <x:c r="R41" s="73" t="n">
        <x:f>IF(16&lt;='Assumptions'!$D$11,0,INDEX('Assumptions'!$C$19:$AL$19,1,16-'Assumptions'!$D$11)*INDEX('Assumptions'!$C$24:$AL$24,1,16-'Assumptions'!$D$11)*INDEX('Assumptions'!$C$29:$AL$29,1,16-'Assumptions'!$D$11))</x:f>
        <x:v>0.2</x:v>
      </x:c>
      <x:c r="S41" s="73" t="n">
        <x:f>IF(17&lt;='Assumptions'!$D$11,0,INDEX('Assumptions'!$C$19:$AL$19,1,17-'Assumptions'!$D$11)*INDEX('Assumptions'!$C$24:$AL$24,1,17-'Assumptions'!$D$11)*INDEX('Assumptions'!$C$29:$AL$29,1,17-'Assumptions'!$D$11))</x:f>
        <x:v>0.2</x:v>
      </x:c>
      <x:c r="T41" s="73" t="n">
        <x:f>IF(18&lt;='Assumptions'!$D$11,0,INDEX('Assumptions'!$C$19:$AL$19,1,18-'Assumptions'!$D$11)*INDEX('Assumptions'!$C$24:$AL$24,1,18-'Assumptions'!$D$11)*INDEX('Assumptions'!$C$29:$AL$29,1,18-'Assumptions'!$D$11))</x:f>
        <x:v>0.2</x:v>
      </x:c>
      <x:c r="U41" s="73" t="n">
        <x:f>IF(19&lt;='Assumptions'!$D$11,0,INDEX('Assumptions'!$C$19:$AL$19,1,19-'Assumptions'!$D$11)*INDEX('Assumptions'!$C$24:$AL$24,1,19-'Assumptions'!$D$11)*INDEX('Assumptions'!$C$29:$AL$29,1,19-'Assumptions'!$D$11))</x:f>
        <x:v>0.2</x:v>
      </x:c>
      <x:c r="V41" s="73" t="n">
        <x:f>IF(20&lt;='Assumptions'!$D$11,0,INDEX('Assumptions'!$C$19:$AL$19,1,20-'Assumptions'!$D$11)*INDEX('Assumptions'!$C$24:$AL$24,1,20-'Assumptions'!$D$11)*INDEX('Assumptions'!$C$29:$AL$29,1,20-'Assumptions'!$D$11))</x:f>
        <x:v>0.2</x:v>
      </x:c>
      <x:c r="W41" s="73" t="n">
        <x:f>IF(21&lt;='Assumptions'!$D$11,0,INDEX('Assumptions'!$C$19:$AL$19,1,21-'Assumptions'!$D$11)*INDEX('Assumptions'!$C$24:$AL$24,1,21-'Assumptions'!$D$11)*INDEX('Assumptions'!$C$29:$AL$29,1,21-'Assumptions'!$D$11))</x:f>
        <x:v>0.2</x:v>
      </x:c>
      <x:c r="X41" s="73" t="n">
        <x:f>IF(22&lt;='Assumptions'!$D$11,0,INDEX('Assumptions'!$C$19:$AL$19,1,22-'Assumptions'!$D$11)*INDEX('Assumptions'!$C$24:$AL$24,1,22-'Assumptions'!$D$11)*INDEX('Assumptions'!$C$29:$AL$29,1,22-'Assumptions'!$D$11))</x:f>
        <x:v>0.2</x:v>
      </x:c>
      <x:c r="Y41" s="73" t="n">
        <x:f>IF(23&lt;='Assumptions'!$D$11,0,INDEX('Assumptions'!$C$19:$AL$19,1,23-'Assumptions'!$D$11)*INDEX('Assumptions'!$C$24:$AL$24,1,23-'Assumptions'!$D$11)*INDEX('Assumptions'!$C$29:$AL$29,1,23-'Assumptions'!$D$11))</x:f>
        <x:v>0.2</x:v>
      </x:c>
      <x:c r="Z41" s="73" t="n">
        <x:f>IF(24&lt;='Assumptions'!$D$11,0,INDEX('Assumptions'!$C$19:$AL$19,1,24-'Assumptions'!$D$11)*INDEX('Assumptions'!$C$24:$AL$24,1,24-'Assumptions'!$D$11)*INDEX('Assumptions'!$C$29:$AL$29,1,24-'Assumptions'!$D$11))</x:f>
        <x:v>0.2</x:v>
      </x:c>
      <x:c r="AA41" s="73" t="n">
        <x:f>IF(25&lt;='Assumptions'!$D$11,0,INDEX('Assumptions'!$C$19:$AL$19,1,25-'Assumptions'!$D$11)*INDEX('Assumptions'!$C$24:$AL$24,1,25-'Assumptions'!$D$11)*INDEX('Assumptions'!$C$29:$AL$29,1,25-'Assumptions'!$D$11))</x:f>
        <x:v>0.2</x:v>
      </x:c>
      <x:c r="AB41" s="73" t="n">
        <x:f>IF(26&lt;='Assumptions'!$D$11,0,INDEX('Assumptions'!$C$19:$AL$19,1,26-'Assumptions'!$D$11)*INDEX('Assumptions'!$C$24:$AL$24,1,26-'Assumptions'!$D$11)*INDEX('Assumptions'!$C$29:$AL$29,1,26-'Assumptions'!$D$11))</x:f>
        <x:v>0.2</x:v>
      </x:c>
      <x:c r="AC41" s="73" t="n">
        <x:f>IF(27&lt;='Assumptions'!$D$11,0,INDEX('Assumptions'!$C$19:$AL$19,1,27-'Assumptions'!$D$11)*INDEX('Assumptions'!$C$24:$AL$24,1,27-'Assumptions'!$D$11)*INDEX('Assumptions'!$C$29:$AL$29,1,27-'Assumptions'!$D$11))</x:f>
        <x:v>0.2</x:v>
      </x:c>
      <x:c r="AD41" s="73" t="n">
        <x:f>IF(28&lt;='Assumptions'!$D$11,0,INDEX('Assumptions'!$C$19:$AL$19,1,28-'Assumptions'!$D$11)*INDEX('Assumptions'!$C$24:$AL$24,1,28-'Assumptions'!$D$11)*INDEX('Assumptions'!$C$29:$AL$29,1,28-'Assumptions'!$D$11))</x:f>
        <x:v>0.2</x:v>
      </x:c>
      <x:c r="AE41" s="73" t="n">
        <x:f>IF(29&lt;='Assumptions'!$D$11,0,INDEX('Assumptions'!$C$19:$AL$19,1,29-'Assumptions'!$D$11)*INDEX('Assumptions'!$C$24:$AL$24,1,29-'Assumptions'!$D$11)*INDEX('Assumptions'!$C$29:$AL$29,1,29-'Assumptions'!$D$11))</x:f>
        <x:v>0.2</x:v>
      </x:c>
      <x:c r="AF41" s="73" t="n">
        <x:f>IF(30&lt;='Assumptions'!$D$11,0,INDEX('Assumptions'!$C$19:$AL$19,1,30-'Assumptions'!$D$11)*INDEX('Assumptions'!$C$24:$AL$24,1,30-'Assumptions'!$D$11)*INDEX('Assumptions'!$C$29:$AL$29,1,30-'Assumptions'!$D$11))</x:f>
        <x:v>0.2</x:v>
      </x:c>
      <x:c r="AG41" s="73" t="n">
        <x:f>IF(31&lt;='Assumptions'!$D$11,0,INDEX('Assumptions'!$C$19:$AL$19,1,31-'Assumptions'!$D$11)*INDEX('Assumptions'!$C$24:$AL$24,1,31-'Assumptions'!$D$11)*INDEX('Assumptions'!$C$29:$AL$29,1,31-'Assumptions'!$D$11))</x:f>
        <x:v>0.2</x:v>
      </x:c>
      <x:c r="AH41" s="73" t="n">
        <x:f>IF(32&lt;='Assumptions'!$D$11,0,INDEX('Assumptions'!$C$19:$AL$19,1,32-'Assumptions'!$D$11)*INDEX('Assumptions'!$C$24:$AL$24,1,32-'Assumptions'!$D$11)*INDEX('Assumptions'!$C$29:$AL$29,1,32-'Assumptions'!$D$11))</x:f>
        <x:v>0.2</x:v>
      </x:c>
      <x:c r="AI41" s="73" t="n">
        <x:f>IF(33&lt;='Assumptions'!$D$11,0,INDEX('Assumptions'!$C$19:$AL$19,1,33-'Assumptions'!$D$11)*INDEX('Assumptions'!$C$24:$AL$24,1,33-'Assumptions'!$D$11)*INDEX('Assumptions'!$C$29:$AL$29,1,33-'Assumptions'!$D$11))</x:f>
        <x:v>0.2</x:v>
      </x:c>
      <x:c r="AJ41" s="73" t="n">
        <x:f>IF(34&lt;='Assumptions'!$D$11,0,INDEX('Assumptions'!$C$19:$AL$19,1,34-'Assumptions'!$D$11)*INDEX('Assumptions'!$C$24:$AL$24,1,34-'Assumptions'!$D$11)*INDEX('Assumptions'!$C$29:$AL$29,1,34-'Assumptions'!$D$11))</x:f>
        <x:v>0.2</x:v>
      </x:c>
      <x:c r="AK41" s="73" t="n">
        <x:f>IF(35&lt;='Assumptions'!$D$11,0,INDEX('Assumptions'!$C$19:$AL$19,1,35-'Assumptions'!$D$11)*INDEX('Assumptions'!$C$24:$AL$24,1,35-'Assumptions'!$D$11)*INDEX('Assumptions'!$C$29:$AL$29,1,35-'Assumptions'!$D$11))</x:f>
        <x:v>0.2</x:v>
      </x:c>
      <x:c r="AL41" s="73" t="n">
        <x:f>IF(36&lt;='Assumptions'!$D$11,0,INDEX('Assumptions'!$C$19:$AL$19,1,36-'Assumptions'!$D$11)*INDEX('Assumptions'!$C$24:$AL$24,1,36-'Assumptions'!$D$11)*INDEX('Assumptions'!$C$29:$AL$29,1,36-'Assumptions'!$D$11))</x:f>
        <x:v>0.2</x:v>
      </x:c>
    </x:row>
    <x:row r="42">
      <x:c r="A42" s="14" t="str">
        <x:v>Churned Customers</x:v>
      </x:c>
      <x:c r="B42" s="14" t="str"/>
      <x:c r="C42" s="73" t="n">
        <x:f>C40*'Assumptions'!C34</x:f>
        <x:v>0.12</x:v>
      </x:c>
      <x:c r="D42" s="73" t="n">
        <x:f>D40*'Assumptions'!D34</x:f>
        <x:v>0.1152</x:v>
      </x:c>
      <x:c r="E42" s="73" t="n">
        <x:f>E40*'Assumptions'!E34</x:f>
        <x:v>0.110592</x:v>
      </x:c>
      <x:c r="F42" s="73" t="n">
        <x:f>F40*'Assumptions'!F34</x:f>
        <x:v>0.10616831999999998</x:v>
      </x:c>
      <x:c r="G42" s="73" t="n">
        <x:f>G40*'Assumptions'!G34</x:f>
        <x:v>0.10992158719999999</x:v>
      </x:c>
      <x:c r="H42" s="73" t="n">
        <x:f>H40*'Assumptions'!H34</x:f>
        <x:v>0.113524723712</x:v>
      </x:c>
      <x:c r="I42" s="73" t="n">
        <x:f>I40*'Assumptions'!I34</x:f>
        <x:v>0.11698373476352</x:v>
      </x:c>
      <x:c r="J42" s="73" t="n">
        <x:f>J40*'Assumptions'!J34</x:f>
        <x:v>0.1203043853729792</x:v>
      </x:c>
      <x:c r="K42" s="73" t="n">
        <x:f>K40*'Assumptions'!K34</x:f>
        <x:v>0.12349220995806004</x:v>
      </x:c>
      <x:c r="L42" s="73" t="n">
        <x:f>L40*'Assumptions'!L34</x:f>
        <x:v>0.12655252155973765</x:v>
      </x:c>
      <x:c r="M42" s="73" t="n">
        <x:f>M40*'Assumptions'!M34</x:f>
        <x:v>0.12949042069734815</x:v>
      </x:c>
      <x:c r="N42" s="73" t="n">
        <x:f>N40*'Assumptions'!N34</x:f>
        <x:v>0.1323108038694542</x:v>
      </x:c>
      <x:c r="O42" s="73" t="n">
        <x:f>O40*'Assumptions'!O34</x:f>
        <x:v>0.13501837171467607</x:v>
      </x:c>
      <x:c r="P42" s="73" t="n">
        <x:f>P40*'Assumptions'!P34</x:f>
        <x:v>0.13761763684608905</x:v>
      </x:c>
      <x:c r="Q42" s="73" t="n">
        <x:f>Q40*'Assumptions'!Q34</x:f>
        <x:v>0.14011293137224548</x:v>
      </x:c>
      <x:c r="R42" s="73" t="n">
        <x:f>R40*'Assumptions'!R34</x:f>
        <x:v>0.14250841411735568</x:v>
      </x:c>
      <x:c r="S42" s="73" t="n">
        <x:f>S40*'Assumptions'!S34</x:f>
        <x:v>0.14480807755266145</x:v>
      </x:c>
      <x:c r="T42" s="73" t="n">
        <x:f>T40*'Assumptions'!T34</x:f>
        <x:v>0.147015754450555</x:v>
      </x:c>
      <x:c r="U42" s="73" t="n">
        <x:f>U40*'Assumptions'!U34</x:f>
        <x:v>0.1491351242725328</x:v>
      </x:c>
      <x:c r="V42" s="73" t="n">
        <x:f>V40*'Assumptions'!V34</x:f>
        <x:v>0.1511697193016315</x:v>
      </x:c>
      <x:c r="W42" s="73" t="n">
        <x:f>W40*'Assumptions'!W34</x:f>
        <x:v>0.15312293052956624</x:v>
      </x:c>
      <x:c r="X42" s="73" t="n">
        <x:f>X40*'Assumptions'!X34</x:f>
        <x:v>0.1549980133083836</x:v>
      </x:c>
      <x:c r="Y42" s="73" t="n">
        <x:f>Y40*'Assumptions'!Y34</x:f>
        <x:v>0.15679809277604825</x:v>
      </x:c>
      <x:c r="Z42" s="73" t="n">
        <x:f>Z40*'Assumptions'!Z34</x:f>
        <x:v>0.15852616906500633</x:v>
      </x:c>
      <x:c r="AA42" s="73" t="n">
        <x:f>AA40*'Assumptions'!AA34</x:f>
        <x:v>0.16018512230240606</x:v>
      </x:c>
      <x:c r="AB42" s="73" t="n">
        <x:f>AB40*'Assumptions'!AB34</x:f>
        <x:v>0.16177771741030986</x:v>
      </x:c>
      <x:c r="AC42" s="73" t="n">
        <x:f>AC40*'Assumptions'!AC34</x:f>
        <x:v>0.16330660871389746</x:v>
      </x:c>
      <x:c r="AD42" s="73" t="n">
        <x:f>AD40*'Assumptions'!AD34</x:f>
        <x:v>0.16477434436534158</x:v>
      </x:c>
      <x:c r="AE42" s="73" t="n">
        <x:f>AE40*'Assumptions'!AE34</x:f>
        <x:v>0.1661833705907279</x:v>
      </x:c>
      <x:c r="AF42" s="73" t="n">
        <x:f>AF40*'Assumptions'!AF34</x:f>
        <x:v>0.16753603576709877</x:v>
      </x:c>
      <x:c r="AG42" s="73" t="n">
        <x:f>AG40*'Assumptions'!AG34</x:f>
        <x:v>0.16883459433641484</x:v>
      </x:c>
      <x:c r="AH42" s="73" t="n">
        <x:f>AH40*'Assumptions'!AH34</x:f>
        <x:v>0.17008121056295825</x:v>
      </x:c>
      <x:c r="AI42" s="73" t="n">
        <x:f>AI40*'Assumptions'!AI34</x:f>
        <x:v>0.17127796214043994</x:v>
      </x:c>
      <x:c r="AJ42" s="73" t="n">
        <x:f>AJ40*'Assumptions'!AJ34</x:f>
        <x:v>0.17242684365482233</x:v>
      </x:c>
      <x:c r="AK42" s="73" t="n">
        <x:f>AK40*'Assumptions'!AK34</x:f>
        <x:v>0.17352976990862945</x:v>
      </x:c>
      <x:c r="AL42" s="73" t="n">
        <x:f>AL40*'Assumptions'!AL34</x:f>
        <x:v>0.1745885791122843</x:v>
      </x:c>
    </x:row>
    <x:row r="43">
      <x:c r="A43" s="14" t="str">
        <x:v>Ending Customers</x:v>
      </x:c>
      <x:c r="B43" s="14" t="str"/>
      <x:c r="C43" s="73" t="n">
        <x:f>MAX(0,C40+C41-C42)</x:f>
        <x:v>2.88</x:v>
      </x:c>
      <x:c r="D43" s="73" t="n">
        <x:f>MAX(0,D40+D41-D42)</x:f>
        <x:v>2.7647999999999997</x:v>
      </x:c>
      <x:c r="E43" s="73" t="n">
        <x:f>MAX(0,E40+E41-E42)</x:f>
        <x:v>2.6542079999999997</x:v>
      </x:c>
      <x:c r="F43" s="73" t="n">
        <x:f>MAX(0,F40+F41-F42)</x:f>
        <x:v>2.7480396799999998</x:v>
      </x:c>
      <x:c r="G43" s="73" t="n">
        <x:f>MAX(0,G40+G41-G42)</x:f>
        <x:v>2.8381180928</x:v>
      </x:c>
      <x:c r="H43" s="73" t="n">
        <x:f>MAX(0,H40+H41-H42)</x:f>
        <x:v>2.924593369088</x:v>
      </x:c>
      <x:c r="I43" s="73" t="n">
        <x:f>MAX(0,I40+I41-I42)</x:f>
        <x:v>3.00760963432448</x:v>
      </x:c>
      <x:c r="J43" s="73" t="n">
        <x:f>MAX(0,J40+J41-J42)</x:f>
        <x:v>3.087305248951501</x:v>
      </x:c>
      <x:c r="K43" s="73" t="n">
        <x:f>MAX(0,K40+K41-K42)</x:f>
        <x:v>3.163813038993441</x:v>
      </x:c>
      <x:c r="L43" s="73" t="n">
        <x:f>MAX(0,L40+L41-L42)</x:f>
        <x:v>3.2372605174337035</x:v>
      </x:c>
      <x:c r="M43" s="73" t="n">
        <x:f>MAX(0,M40+M41-M42)</x:f>
        <x:v>3.3077700967363555</x:v>
      </x:c>
      <x:c r="N43" s="73" t="n">
        <x:f>MAX(0,N40+N41-N42)</x:f>
        <x:v>3.3754592928669016</x:v>
      </x:c>
      <x:c r="O43" s="73" t="n">
        <x:f>MAX(0,O40+O41-O42)</x:f>
        <x:v>3.4404409211522258</x:v>
      </x:c>
      <x:c r="P43" s="73" t="n">
        <x:f>MAX(0,P40+P41-P42)</x:f>
        <x:v>3.502823284306137</x:v>
      </x:c>
      <x:c r="Q43" s="73" t="n">
        <x:f>MAX(0,Q40+Q41-Q42)</x:f>
        <x:v>3.562710352933892</x:v>
      </x:c>
      <x:c r="R43" s="73" t="n">
        <x:f>MAX(0,R40+R41-R42)</x:f>
        <x:v>3.6202019388165363</x:v>
      </x:c>
      <x:c r="S43" s="73" t="n">
        <x:f>MAX(0,S40+S41-S42)</x:f>
        <x:v>3.675393861263875</x:v>
      </x:c>
      <x:c r="T43" s="73" t="n">
        <x:f>MAX(0,T40+T41-T42)</x:f>
        <x:v>3.72837810681332</x:v>
      </x:c>
      <x:c r="U43" s="73" t="n">
        <x:f>MAX(0,U40+U41-U42)</x:f>
        <x:v>3.7792429825407874</x:v>
      </x:c>
      <x:c r="V43" s="73" t="n">
        <x:f>MAX(0,V40+V41-V42)</x:f>
        <x:v>3.828073263239156</x:v>
      </x:c>
      <x:c r="W43" s="73" t="n">
        <x:f>MAX(0,W40+W41-W42)</x:f>
        <x:v>3.8749503327095898</x:v>
      </x:c>
      <x:c r="X43" s="73" t="n">
        <x:f>MAX(0,X40+X41-X42)</x:f>
        <x:v>3.9199523194012063</x:v>
      </x:c>
      <x:c r="Y43" s="73" t="n">
        <x:f>MAX(0,Y40+Y41-Y42)</x:f>
        <x:v>3.963154226625158</x:v>
      </x:c>
      <x:c r="Z43" s="73" t="n">
        <x:f>MAX(0,Z40+Z41-Z42)</x:f>
        <x:v>4.004628057560152</x:v>
      </x:c>
      <x:c r="AA43" s="73" t="n">
        <x:f>MAX(0,AA40+AA41-AA42)</x:f>
        <x:v>4.044442935257746</x:v>
      </x:c>
      <x:c r="AB43" s="73" t="n">
        <x:f>MAX(0,AB40+AB41-AB42)</x:f>
        <x:v>4.0826652178474365</x:v>
      </x:c>
      <x:c r="AC43" s="73" t="n">
        <x:f>MAX(0,AC40+AC41-AC42)</x:f>
        <x:v>4.119358609133539</x:v>
      </x:c>
      <x:c r="AD43" s="73" t="n">
        <x:f>MAX(0,AD40+AD41-AD42)</x:f>
        <x:v>4.154584264768197</x:v>
      </x:c>
      <x:c r="AE43" s="73" t="n">
        <x:f>MAX(0,AE40+AE41-AE42)</x:f>
        <x:v>4.1884008941774695</x:v>
      </x:c>
      <x:c r="AF43" s="73" t="n">
        <x:f>MAX(0,AF40+AF41-AF42)</x:f>
        <x:v>4.220864858410371</x:v>
      </x:c>
      <x:c r="AG43" s="73" t="n">
        <x:f>MAX(0,AG40+AG41-AG42)</x:f>
        <x:v>4.252030264073956</x:v>
      </x:c>
      <x:c r="AH43" s="73" t="n">
        <x:f>MAX(0,AH40+AH41-AH42)</x:f>
        <x:v>4.281949053510998</x:v>
      </x:c>
      <x:c r="AI43" s="73" t="n">
        <x:f>MAX(0,AI40+AI41-AI42)</x:f>
        <x:v>4.310671091370558</x:v>
      </x:c>
      <x:c r="AJ43" s="73" t="n">
        <x:f>MAX(0,AJ40+AJ41-AJ42)</x:f>
        <x:v>4.338244247715736</x:v>
      </x:c>
      <x:c r="AK43" s="73" t="n">
        <x:f>MAX(0,AK40+AK41-AK42)</x:f>
        <x:v>4.364714477807107</x:v>
      </x:c>
      <x:c r="AL43" s="73" t="n">
        <x:f>MAX(0,AL40+AL41-AL42)</x:f>
        <x:v>4.390125898694823</x:v>
      </x:c>
    </x:row>
    <x:row r="44">
      <x:c r="A44" s="14" t="str">
        <x:v>Revenue</x:v>
      </x:c>
      <x:c r="B44" s="14" t="str"/>
      <x:c r="C44" s="76" t="n">
        <x:f>C43*('Assumptions'!C39+'Assumptions'!C44*'Assumptions'!C49+'Assumptions'!C54)</x:f>
        <x:v>11520000</x:v>
      </x:c>
      <x:c r="D44" s="76" t="n">
        <x:f>D43*('Assumptions'!D39+'Assumptions'!D44*'Assumptions'!D49+'Assumptions'!D54)</x:f>
        <x:v>11059199.999999998</x:v>
      </x:c>
      <x:c r="E44" s="76" t="n">
        <x:f>E43*('Assumptions'!E39+'Assumptions'!E44*'Assumptions'!E49+'Assumptions'!E54)</x:f>
        <x:v>10616831.999999998</x:v>
      </x:c>
      <x:c r="F44" s="76" t="n">
        <x:f>F43*('Assumptions'!F39+'Assumptions'!F44*'Assumptions'!F49+'Assumptions'!F54)</x:f>
        <x:v>10992158.719999999</x:v>
      </x:c>
      <x:c r="G44" s="76" t="n">
        <x:f>G43*('Assumptions'!G39+'Assumptions'!G44*'Assumptions'!G49+'Assumptions'!G54)</x:f>
        <x:v>11352472.371199999</x:v>
      </x:c>
      <x:c r="H44" s="76" t="n">
        <x:f>H43*('Assumptions'!H39+'Assumptions'!H44*'Assumptions'!H49+'Assumptions'!H54)</x:f>
        <x:v>11698373.476352</x:v>
      </x:c>
      <x:c r="I44" s="76" t="n">
        <x:f>I43*('Assumptions'!I39+'Assumptions'!I44*'Assumptions'!I49+'Assumptions'!I54)</x:f>
        <x:v>12030438.53729792</x:v>
      </x:c>
      <x:c r="J44" s="76" t="n">
        <x:f>J43*('Assumptions'!J39+'Assumptions'!J44*'Assumptions'!J49+'Assumptions'!J54)</x:f>
        <x:v>12349220.995806003</x:v>
      </x:c>
      <x:c r="K44" s="76" t="n">
        <x:f>K43*('Assumptions'!K39+'Assumptions'!K44*'Assumptions'!K49+'Assumptions'!K54)</x:f>
        <x:v>12655252.155973764</x:v>
      </x:c>
      <x:c r="L44" s="76" t="n">
        <x:f>L43*('Assumptions'!L39+'Assumptions'!L44*'Assumptions'!L49+'Assumptions'!L54)</x:f>
        <x:v>12949042.069734814</x:v>
      </x:c>
      <x:c r="M44" s="76" t="n">
        <x:f>M43*('Assumptions'!M39+'Assumptions'!M44*'Assumptions'!M49+'Assumptions'!M54)</x:f>
        <x:v>13231080.386945423</x:v>
      </x:c>
      <x:c r="N44" s="76" t="n">
        <x:f>N43*('Assumptions'!N39+'Assumptions'!N44*'Assumptions'!N49+'Assumptions'!N54)</x:f>
        <x:v>13501837.171467606</x:v>
      </x:c>
      <x:c r="O44" s="76" t="n">
        <x:f>O43*('Assumptions'!O39+'Assumptions'!O44*'Assumptions'!O49+'Assumptions'!O54)</x:f>
        <x:v>13761763.684608903</x:v>
      </x:c>
      <x:c r="P44" s="76" t="n">
        <x:f>P43*('Assumptions'!P39+'Assumptions'!P44*'Assumptions'!P49+'Assumptions'!P54)</x:f>
        <x:v>14011293.137224548</x:v>
      </x:c>
      <x:c r="Q44" s="76" t="n">
        <x:f>Q43*('Assumptions'!Q39+'Assumptions'!Q44*'Assumptions'!Q49+'Assumptions'!Q54)</x:f>
        <x:v>14250841.411735568</x:v>
      </x:c>
      <x:c r="R44" s="76" t="n">
        <x:f>R43*('Assumptions'!R39+'Assumptions'!R44*'Assumptions'!R49+'Assumptions'!R54)</x:f>
        <x:v>14480807.755266145</x:v>
      </x:c>
      <x:c r="S44" s="76" t="n">
        <x:f>S43*('Assumptions'!S39+'Assumptions'!S44*'Assumptions'!S49+'Assumptions'!S54)</x:f>
        <x:v>14701575.4450555</x:v>
      </x:c>
      <x:c r="T44" s="76" t="n">
        <x:f>T43*('Assumptions'!T39+'Assumptions'!T44*'Assumptions'!T49+'Assumptions'!T54)</x:f>
        <x:v>14913512.42725328</x:v>
      </x:c>
      <x:c r="U44" s="76" t="n">
        <x:f>U43*('Assumptions'!U39+'Assumptions'!U44*'Assumptions'!U49+'Assumptions'!U54)</x:f>
        <x:v>15116971.930163149</x:v>
      </x:c>
      <x:c r="V44" s="76" t="n">
        <x:f>V43*('Assumptions'!V39+'Assumptions'!V44*'Assumptions'!V49+'Assumptions'!V54)</x:f>
        <x:v>15312293.052956624</x:v>
      </x:c>
      <x:c r="W44" s="76" t="n">
        <x:f>W43*('Assumptions'!W39+'Assumptions'!W44*'Assumptions'!W49+'Assumptions'!W54)</x:f>
        <x:v>15499801.33083836</x:v>
      </x:c>
      <x:c r="X44" s="76" t="n">
        <x:f>X43*('Assumptions'!X39+'Assumptions'!X44*'Assumptions'!X49+'Assumptions'!X54)</x:f>
        <x:v>15679809.277604826</x:v>
      </x:c>
      <x:c r="Y44" s="76" t="n">
        <x:f>Y43*('Assumptions'!Y39+'Assumptions'!Y44*'Assumptions'!Y49+'Assumptions'!Y54)</x:f>
        <x:v>15852616.906500632</x:v>
      </x:c>
      <x:c r="Z44" s="76" t="n">
        <x:f>Z43*('Assumptions'!Z39+'Assumptions'!Z44*'Assumptions'!Z49+'Assumptions'!Z54)</x:f>
        <x:v>16018512.230240606</x:v>
      </x:c>
      <x:c r="AA44" s="76" t="n">
        <x:f>AA43*('Assumptions'!AA39+'Assumptions'!AA44*'Assumptions'!AA49+'Assumptions'!AA54)</x:f>
        <x:v>16177771.741030984</x:v>
      </x:c>
      <x:c r="AB44" s="76" t="n">
        <x:f>AB43*('Assumptions'!AB39+'Assumptions'!AB44*'Assumptions'!AB49+'Assumptions'!AB54)</x:f>
        <x:v>16330660.871389747</x:v>
      </x:c>
      <x:c r="AC44" s="76" t="n">
        <x:f>AC43*('Assumptions'!AC39+'Assumptions'!AC44*'Assumptions'!AC49+'Assumptions'!AC54)</x:f>
        <x:v>16477434.436534157</x:v>
      </x:c>
      <x:c r="AD44" s="76" t="n">
        <x:f>AD43*('Assumptions'!AD39+'Assumptions'!AD44*'Assumptions'!AD49+'Assumptions'!AD54)</x:f>
        <x:v>16618337.059072789</x:v>
      </x:c>
      <x:c r="AE44" s="76" t="n">
        <x:f>AE43*('Assumptions'!AE39+'Assumptions'!AE44*'Assumptions'!AE49+'Assumptions'!AE54)</x:f>
        <x:v>16753603.576709878</x:v>
      </x:c>
      <x:c r="AF44" s="76" t="n">
        <x:f>AF43*('Assumptions'!AF39+'Assumptions'!AF44*'Assumptions'!AF49+'Assumptions'!AF54)</x:f>
        <x:v>16883459.433641482</x:v>
      </x:c>
      <x:c r="AG44" s="76" t="n">
        <x:f>AG43*('Assumptions'!AG39+'Assumptions'!AG44*'Assumptions'!AG49+'Assumptions'!AG54)</x:f>
        <x:v>17008121.056295823</x:v>
      </x:c>
      <x:c r="AH44" s="76" t="n">
        <x:f>AH43*('Assumptions'!AH39+'Assumptions'!AH44*'Assumptions'!AH49+'Assumptions'!AH54)</x:f>
        <x:v>17127796.214043994</x:v>
      </x:c>
      <x:c r="AI44" s="76" t="n">
        <x:f>AI43*('Assumptions'!AI39+'Assumptions'!AI44*'Assumptions'!AI49+'Assumptions'!AI54)</x:f>
        <x:v>17242684.365482233</x:v>
      </x:c>
      <x:c r="AJ44" s="76" t="n">
        <x:f>AJ43*('Assumptions'!AJ39+'Assumptions'!AJ44*'Assumptions'!AJ49+'Assumptions'!AJ54)</x:f>
        <x:v>17352976.990862947</x:v>
      </x:c>
      <x:c r="AK44" s="76" t="n">
        <x:f>AK43*('Assumptions'!AK39+'Assumptions'!AK44*'Assumptions'!AK49+'Assumptions'!AK54)</x:f>
        <x:v>17458857.91122843</x:v>
      </x:c>
      <x:c r="AL44" s="76" t="n">
        <x:f>AL43*('Assumptions'!AL39+'Assumptions'!AL44*'Assumptions'!AL49+'Assumptions'!AL54)</x:f>
        <x:v>17560503.59477929</x:v>
      </x:c>
    </x:row>
    <x:row r="45">
      <x:c r="A45" s="14" t="str">
        <x:v>COGS</x:v>
      </x:c>
      <x:c r="B45" s="14" t="str"/>
      <x:c r="C45" s="76" t="n">
        <x:f>C43*'Assumptions'!C44*'Assumptions'!C59/1000000*'Assumptions'!$D$13*'Assumptions'!$D$12+C43*'Assumptions'!C44*'Assumptions'!C64/1000000*'Assumptions'!$D$14*'Assumptions'!$D$12+C43*'Assumptions'!C44*'Assumptions'!C69+C43*'Assumptions'!C44*'Assumptions'!C74+C44*'Assumptions'!$D$15</x:f>
        <x:v>2555861.76</x:v>
      </x:c>
      <x:c r="D45" s="76" t="n">
        <x:f>D43*'Assumptions'!D44*'Assumptions'!D59/1000000*'Assumptions'!$D$13*'Assumptions'!$D$12+D43*'Assumptions'!D44*'Assumptions'!D64/1000000*'Assumptions'!$D$14*'Assumptions'!$D$12+D43*'Assumptions'!D44*'Assumptions'!D69+D43*'Assumptions'!D44*'Assumptions'!D74+D44*'Assumptions'!$D$15</x:f>
        <x:v>2453627.2896</x:v>
      </x:c>
      <x:c r="E45" s="76" t="n">
        <x:f>E43*'Assumptions'!E44*'Assumptions'!E59/1000000*'Assumptions'!$D$13*'Assumptions'!$D$12+E43*'Assumptions'!E44*'Assumptions'!E64/1000000*'Assumptions'!$D$14*'Assumptions'!$D$12+E43*'Assumptions'!E44*'Assumptions'!E69+E43*'Assumptions'!E44*'Assumptions'!E74+E44*'Assumptions'!$D$15</x:f>
        <x:v>2355482.198016</x:v>
      </x:c>
      <x:c r="F45" s="76" t="n">
        <x:f>F43*'Assumptions'!F44*'Assumptions'!F59/1000000*'Assumptions'!$D$13*'Assumptions'!$D$12+F43*'Assumptions'!F44*'Assumptions'!F64/1000000*'Assumptions'!$D$14*'Assumptions'!$D$12+F43*'Assumptions'!F44*'Assumptions'!F69+F43*'Assumptions'!F44*'Assumptions'!F74+F44*'Assumptions'!$D$15</x:f>
        <x:v>2438753.3100953596</x:v>
      </x:c>
      <x:c r="G45" s="76" t="n">
        <x:f>G43*'Assumptions'!G44*'Assumptions'!G59/1000000*'Assumptions'!$D$13*'Assumptions'!$D$12+G43*'Assumptions'!G44*'Assumptions'!G64/1000000*'Assumptions'!$D$14*'Assumptions'!$D$12+G43*'Assumptions'!G44*'Assumptions'!G69+G43*'Assumptions'!G44*'Assumptions'!G74+G44*'Assumptions'!$D$15</x:f>
        <x:v>2518693.5776915457</x:v>
      </x:c>
      <x:c r="H45" s="76" t="n">
        <x:f>H43*'Assumptions'!H44*'Assumptions'!H59/1000000*'Assumptions'!$D$13*'Assumptions'!$D$12+H43*'Assumptions'!H44*'Assumptions'!H64/1000000*'Assumptions'!$D$14*'Assumptions'!$D$12+H43*'Assumptions'!H44*'Assumptions'!H69+H43*'Assumptions'!H44*'Assumptions'!H74+H44*'Assumptions'!$D$15</x:f>
        <x:v>2595436.234583884</x:v>
      </x:c>
      <x:c r="I45" s="76" t="n">
        <x:f>I43*'Assumptions'!I44*'Assumptions'!I59/1000000*'Assumptions'!$D$13*'Assumptions'!$D$12+I43*'Assumptions'!I44*'Assumptions'!I64/1000000*'Assumptions'!$D$14*'Assumptions'!$D$12+I43*'Assumptions'!I44*'Assumptions'!I69+I43*'Assumptions'!I44*'Assumptions'!I74+I44*'Assumptions'!$D$15</x:f>
        <x:v>2669109.1852005282</x:v>
      </x:c>
      <x:c r="J45" s="76" t="n">
        <x:f>J43*'Assumptions'!J44*'Assumptions'!J59/1000000*'Assumptions'!$D$13*'Assumptions'!$D$12+J43*'Assumptions'!J44*'Assumptions'!J64/1000000*'Assumptions'!$D$14*'Assumptions'!$D$12+J43*'Assumptions'!J44*'Assumptions'!J69+J43*'Assumptions'!J44*'Assumptions'!J74+J44*'Assumptions'!$D$15</x:f>
        <x:v>2739835.2177925073</x:v>
      </x:c>
      <x:c r="K45" s="76" t="n">
        <x:f>K43*'Assumptions'!K44*'Assumptions'!K59/1000000*'Assumptions'!$D$13*'Assumptions'!$D$12+K43*'Assumptions'!K44*'Assumptions'!K64/1000000*'Assumptions'!$D$14*'Assumptions'!$D$12+K43*'Assumptions'!K44*'Assumptions'!K69+K43*'Assumptions'!K44*'Assumptions'!K74+K44*'Assumptions'!$D$15</x:f>
        <x:v>2807732.2090808074</x:v>
      </x:c>
      <x:c r="L45" s="76" t="n">
        <x:f>L43*'Assumptions'!L44*'Assumptions'!L59/1000000*'Assumptions'!$D$13*'Assumptions'!$D$12+L43*'Assumptions'!L44*'Assumptions'!L64/1000000*'Assumptions'!$D$14*'Assumptions'!$D$12+L43*'Assumptions'!L44*'Assumptions'!L69+L43*'Assumptions'!L44*'Assumptions'!L74+L44*'Assumptions'!$D$15</x:f>
        <x:v>2872913.320717575</x:v>
      </x:c>
      <x:c r="M45" s="76" t="n">
        <x:f>M43*'Assumptions'!M44*'Assumptions'!M59/1000000*'Assumptions'!$D$13*'Assumptions'!$D$12+M43*'Assumptions'!M44*'Assumptions'!M64/1000000*'Assumptions'!$D$14*'Assumptions'!$D$12+M43*'Assumptions'!M44*'Assumptions'!M69+M43*'Assumptions'!M44*'Assumptions'!M74+M44*'Assumptions'!$D$15</x:f>
        <x:v>2935487.187888872</x:v>
      </x:c>
      <x:c r="N45" s="76" t="n">
        <x:f>N43*'Assumptions'!N44*'Assumptions'!N59/1000000*'Assumptions'!$D$13*'Assumptions'!$D$12+N43*'Assumptions'!N44*'Assumptions'!N64/1000000*'Assumptions'!$D$14*'Assumptions'!$D$12+N43*'Assumptions'!N44*'Assumptions'!N69+N43*'Assumptions'!N44*'Assumptions'!N74+N44*'Assumptions'!$D$15</x:f>
        <x:v>2995558.100373317</x:v>
      </x:c>
      <x:c r="O45" s="76" t="n">
        <x:f>O43*'Assumptions'!O44*'Assumptions'!O59/1000000*'Assumptions'!$D$13*'Assumptions'!$D$12+O43*'Assumptions'!O44*'Assumptions'!O64/1000000*'Assumptions'!$D$14*'Assumptions'!$D$12+O43*'Assumptions'!O44*'Assumptions'!O69+O43*'Assumptions'!O44*'Assumptions'!O74+O44*'Assumptions'!$D$15</x:f>
        <x:v>3053226.176358385</x:v>
      </x:c>
      <x:c r="P45" s="76" t="n">
        <x:f>P43*'Assumptions'!P44*'Assumptions'!P59/1000000*'Assumptions'!$D$13*'Assumptions'!$D$12+P43*'Assumptions'!P44*'Assumptions'!P64/1000000*'Assumptions'!$D$14*'Assumptions'!$D$12+P43*'Assumptions'!P44*'Assumptions'!P69+P43*'Assumptions'!P44*'Assumptions'!P74+P44*'Assumptions'!$D$15</x:f>
        <x:v>3108587.5293040504</x:v>
      </x:c>
      <x:c r="Q45" s="76" t="n">
        <x:f>Q43*'Assumptions'!Q44*'Assumptions'!Q59/1000000*'Assumptions'!$D$13*'Assumptions'!$D$12+Q43*'Assumptions'!Q44*'Assumptions'!Q64/1000000*'Assumptions'!$D$14*'Assumptions'!$D$12+Q43*'Assumptions'!Q44*'Assumptions'!Q69+Q43*'Assumptions'!Q44*'Assumptions'!Q74+Q44*'Assumptions'!$D$15</x:f>
        <x:v>3161734.4281318877</x:v>
      </x:c>
      <x:c r="R45" s="76" t="n">
        <x:f>R43*'Assumptions'!R44*'Assumptions'!R59/1000000*'Assumptions'!$D$13*'Assumptions'!$D$12+R43*'Assumptions'!R44*'Assumptions'!R64/1000000*'Assumptions'!$D$14*'Assumptions'!$D$12+R43*'Assumptions'!R44*'Assumptions'!R69+R43*'Assumptions'!R44*'Assumptions'!R74+R44*'Assumptions'!$D$15</x:f>
        <x:v>3212755.451006613</x:v>
      </x:c>
      <x:c r="S45" s="76" t="n">
        <x:f>S43*'Assumptions'!S44*'Assumptions'!S59/1000000*'Assumptions'!$D$13*'Assumptions'!$D$12+S43*'Assumptions'!S44*'Assumptions'!S64/1000000*'Assumptions'!$D$14*'Assumptions'!$D$12+S43*'Assumptions'!S44*'Assumptions'!S69+S43*'Assumptions'!S44*'Assumptions'!S74+S44*'Assumptions'!$D$15</x:f>
        <x:v>3261735.632966348</x:v>
      </x:c>
      <x:c r="T45" s="76" t="n">
        <x:f>T43*'Assumptions'!T44*'Assumptions'!T59/1000000*'Assumptions'!$D$13*'Assumptions'!$D$12+T43*'Assumptions'!T44*'Assumptions'!T64/1000000*'Assumptions'!$D$14*'Assumptions'!$D$12+T43*'Assumptions'!T44*'Assumptions'!T69+T43*'Assumptions'!T44*'Assumptions'!T74+T44*'Assumptions'!$D$15</x:f>
        <x:v>3308756.6076476946</x:v>
      </x:c>
      <x:c r="U45" s="76" t="n">
        <x:f>U43*'Assumptions'!U44*'Assumptions'!U59/1000000*'Assumptions'!$D$13*'Assumptions'!$D$12+U43*'Assumptions'!U44*'Assumptions'!U64/1000000*'Assumptions'!$D$14*'Assumptions'!$D$12+U43*'Assumptions'!U44*'Assumptions'!U69+U43*'Assumptions'!U44*'Assumptions'!U74+U44*'Assumptions'!$D$15</x:f>
        <x:v>3353896.743341787</x:v>
      </x:c>
      <x:c r="V45" s="76" t="n">
        <x:f>V43*'Assumptions'!V44*'Assumptions'!V59/1000000*'Assumptions'!$D$13*'Assumptions'!$D$12+V43*'Assumptions'!V44*'Assumptions'!V64/1000000*'Assumptions'!$D$14*'Assumptions'!$D$12+V43*'Assumptions'!V44*'Assumptions'!V69+V43*'Assumptions'!V44*'Assumptions'!V74+V44*'Assumptions'!$D$15</x:f>
        <x:v>3397231.273608115</x:v>
      </x:c>
      <x:c r="W45" s="76" t="n">
        <x:f>W43*'Assumptions'!W44*'Assumptions'!W59/1000000*'Assumptions'!$D$13*'Assumptions'!$D$12+W43*'Assumptions'!W44*'Assumptions'!W64/1000000*'Assumptions'!$D$14*'Assumptions'!$D$12+W43*'Assumptions'!W44*'Assumptions'!W69+W43*'Assumptions'!W44*'Assumptions'!W74+W44*'Assumptions'!$D$15</x:f>
        <x:v>3438832.42266379</x:v>
      </x:c>
      <x:c r="X45" s="76" t="n">
        <x:f>X43*'Assumptions'!X44*'Assumptions'!X59/1000000*'Assumptions'!$D$13*'Assumptions'!$D$12+X43*'Assumptions'!X44*'Assumptions'!X64/1000000*'Assumptions'!$D$14*'Assumptions'!$D$12+X43*'Assumptions'!X44*'Assumptions'!X69+X43*'Assumptions'!X44*'Assumptions'!X74+X44*'Assumptions'!$D$15</x:f>
        <x:v>3478769.5257572387</x:v>
      </x:c>
      <x:c r="Y45" s="76" t="n">
        <x:f>Y43*'Assumptions'!Y44*'Assumptions'!Y59/1000000*'Assumptions'!$D$13*'Assumptions'!$D$12+Y43*'Assumptions'!Y44*'Assumptions'!Y64/1000000*'Assumptions'!$D$14*'Assumptions'!$D$12+Y43*'Assumptions'!Y44*'Assumptions'!Y69+Y43*'Assumptions'!Y44*'Assumptions'!Y74+Y44*'Assumptions'!$D$15</x:f>
        <x:v>3517109.1447269493</x:v>
      </x:c>
      <x:c r="Z45" s="76" t="n">
        <x:f>Z43*'Assumptions'!Z44*'Assumptions'!Z59/1000000*'Assumptions'!$D$13*'Assumptions'!$D$12+Z43*'Assumptions'!Z44*'Assumptions'!Z64/1000000*'Assumptions'!$D$14*'Assumptions'!$D$12+Z43*'Assumptions'!Z44*'Assumptions'!Z69+Z43*'Assumptions'!Z44*'Assumptions'!Z74+Z44*'Assumptions'!$D$15</x:f>
        <x:v>3553915.178937871</x:v>
      </x:c>
      <x:c r="AA45" s="76" t="n">
        <x:f>AA43*'Assumptions'!AA44*'Assumptions'!AA59/1000000*'Assumptions'!$D$13*'Assumptions'!$D$12+AA43*'Assumptions'!AA44*'Assumptions'!AA64/1000000*'Assumptions'!$D$14*'Assumptions'!$D$12+AA43*'Assumptions'!AA44*'Assumptions'!AA69+AA43*'Assumptions'!AA44*'Assumptions'!AA74+AA44*'Assumptions'!$D$15</x:f>
        <x:v>3589248.971780357</x:v>
      </x:c>
      <x:c r="AB45" s="76" t="n">
        <x:f>AB43*'Assumptions'!AB44*'Assumptions'!AB59/1000000*'Assumptions'!$D$13*'Assumptions'!$D$12+AB43*'Assumptions'!AB44*'Assumptions'!AB64/1000000*'Assumptions'!$D$14*'Assumptions'!$D$12+AB43*'Assumptions'!AB44*'Assumptions'!AB69+AB43*'Assumptions'!AB44*'Assumptions'!AB74+AB44*'Assumptions'!$D$15</x:f>
        <x:v>3623169.4129091427</x:v>
      </x:c>
      <x:c r="AC45" s="76" t="n">
        <x:f>AC43*'Assumptions'!AC44*'Assumptions'!AC59/1000000*'Assumptions'!$D$13*'Assumptions'!$D$12+AC43*'Assumptions'!AC44*'Assumptions'!AC64/1000000*'Assumptions'!$D$14*'Assumptions'!$D$12+AC43*'Assumptions'!AC44*'Assumptions'!AC69+AC43*'Assumptions'!AC44*'Assumptions'!AC74+AC44*'Assumptions'!$D$15</x:f>
        <x:v>3655733.0363927777</x:v>
      </x:c>
      <x:c r="AD45" s="76" t="n">
        <x:f>AD43*'Assumptions'!AD44*'Assumptions'!AD59/1000000*'Assumptions'!$D$13*'Assumptions'!$D$12+AD43*'Assumptions'!AD44*'Assumptions'!AD64/1000000*'Assumptions'!$D$14*'Assumptions'!$D$12+AD43*'Assumptions'!AD44*'Assumptions'!AD69+AD43*'Assumptions'!AD44*'Assumptions'!AD74+AD44*'Assumptions'!$D$15</x:f>
        <x:v>3686994.114937066</x:v>
      </x:c>
      <x:c r="AE45" s="76" t="n">
        <x:f>AE43*'Assumptions'!AE44*'Assumptions'!AE59/1000000*'Assumptions'!$D$13*'Assumptions'!$D$12+AE43*'Assumptions'!AE44*'Assumptions'!AE64/1000000*'Assumptions'!$D$14*'Assumptions'!$D$12+AE43*'Assumptions'!AE44*'Assumptions'!AE69+AE43*'Assumptions'!AE44*'Assumptions'!AE74+AE44*'Assumptions'!$D$15</x:f>
        <x:v>3717004.7503395844</x:v>
      </x:c>
      <x:c r="AF45" s="76" t="n">
        <x:f>AF43*'Assumptions'!AF44*'Assumptions'!AF59/1000000*'Assumptions'!$D$13*'Assumptions'!$D$12+AF43*'Assumptions'!AF44*'Assumptions'!AF64/1000000*'Assumptions'!$D$14*'Assumptions'!$D$12+AF43*'Assumptions'!AF44*'Assumptions'!AF69+AF43*'Assumptions'!AF44*'Assumptions'!AF74+AF44*'Assumptions'!$D$15</x:f>
        <x:v>3745814.960326001</x:v>
      </x:c>
      <x:c r="AG45" s="76" t="n">
        <x:f>AG43*'Assumptions'!AG44*'Assumptions'!AG59/1000000*'Assumptions'!$D$13*'Assumptions'!$D$12+AG43*'Assumptions'!AG44*'Assumptions'!AG64/1000000*'Assumptions'!$D$14*'Assumptions'!$D$12+AG43*'Assumptions'!AG44*'Assumptions'!AG69+AG43*'Assumptions'!AG44*'Assumptions'!AG74+AG44*'Assumptions'!$D$15</x:f>
        <x:v>3773472.76191296</x:v>
      </x:c>
      <x:c r="AH45" s="76" t="n">
        <x:f>AH43*'Assumptions'!AH44*'Assumptions'!AH59/1000000*'Assumptions'!$D$13*'Assumptions'!$D$12+AH43*'Assumptions'!AH44*'Assumptions'!AH64/1000000*'Assumptions'!$D$14*'Assumptions'!$D$12+AH43*'Assumptions'!AH44*'Assumptions'!AH69+AH43*'Assumptions'!AH44*'Assumptions'!AH74+AH44*'Assumptions'!$D$15</x:f>
        <x:v>3800024.2514364426</x:v>
      </x:c>
      <x:c r="AI45" s="76" t="n">
        <x:f>AI43*'Assumptions'!AI44*'Assumptions'!AI59/1000000*'Assumptions'!$D$13*'Assumptions'!$D$12+AI43*'Assumptions'!AI44*'Assumptions'!AI64/1000000*'Assumptions'!$D$14*'Assumptions'!$D$12+AI43*'Assumptions'!AI44*'Assumptions'!AI69+AI43*'Assumptions'!AI44*'Assumptions'!AI74+AI44*'Assumptions'!$D$15</x:f>
        <x:v>3825513.6813789844</x:v>
      </x:c>
      <x:c r="AJ45" s="76" t="n">
        <x:f>AJ43*'Assumptions'!AJ44*'Assumptions'!AJ59/1000000*'Assumptions'!$D$13*'Assumptions'!$D$12+AJ43*'Assumptions'!AJ44*'Assumptions'!AJ64/1000000*'Assumptions'!$D$14*'Assumptions'!$D$12+AJ43*'Assumptions'!AJ44*'Assumptions'!AJ69+AJ43*'Assumptions'!AJ44*'Assumptions'!AJ74+AJ44*'Assumptions'!$D$15</x:f>
        <x:v>3849983.534123826</x:v>
      </x:c>
      <x:c r="AK45" s="76" t="n">
        <x:f>AK43*'Assumptions'!AK44*'Assumptions'!AK59/1000000*'Assumptions'!$D$13*'Assumptions'!$D$12+AK43*'Assumptions'!AK44*'Assumptions'!AK64/1000000*'Assumptions'!$D$14*'Assumptions'!$D$12+AK43*'Assumptions'!AK44*'Assumptions'!AK69+AK43*'Assumptions'!AK44*'Assumptions'!AK74+AK44*'Assumptions'!$D$15</x:f>
        <x:v>3873474.5927588725</x:v>
      </x:c>
      <x:c r="AL45" s="76" t="n">
        <x:f>AL43*'Assumptions'!AL44*'Assumptions'!AL59/1000000*'Assumptions'!$D$13*'Assumptions'!$D$12+AL43*'Assumptions'!AL44*'Assumptions'!AL64/1000000*'Assumptions'!$D$14*'Assumptions'!$D$12+AL43*'Assumptions'!AL44*'Assumptions'!AL69+AL43*'Assumptions'!AL44*'Assumptions'!AL74+AL44*'Assumptions'!$D$15</x:f>
        <x:v>3896026.009048518</x:v>
      </x:c>
    </x:row>
    <x:row r="46">
      <x:c r="A46" s="14" t="str">
        <x:v>Gross Profit</x:v>
      </x:c>
      <x:c r="B46" s="14" t="str"/>
      <x:c r="C46" s="76" t="n">
        <x:f>C44-C45</x:f>
        <x:v>8964138.24</x:v>
      </x:c>
      <x:c r="D46" s="76" t="n">
        <x:f>D44-D45</x:f>
        <x:v>8605572.710399998</x:v>
      </x:c>
      <x:c r="E46" s="76" t="n">
        <x:f>E44-E45</x:f>
        <x:v>8261349.801983998</x:v>
      </x:c>
      <x:c r="F46" s="76" t="n">
        <x:f>F44-F45</x:f>
        <x:v>8553405.40990464</x:v>
      </x:c>
      <x:c r="G46" s="76" t="n">
        <x:f>G44-G45</x:f>
        <x:v>8833778.793508453</x:v>
      </x:c>
      <x:c r="H46" s="76" t="n">
        <x:f>H44-H45</x:f>
        <x:v>9102937.241768116</x:v>
      </x:c>
      <x:c r="I46" s="76" t="n">
        <x:f>I44-I45</x:f>
        <x:v>9361329.352097392</x:v>
      </x:c>
      <x:c r="J46" s="76" t="n">
        <x:f>J44-J45</x:f>
        <x:v>9609385.778013496</x:v>
      </x:c>
      <x:c r="K46" s="76" t="n">
        <x:f>K44-K45</x:f>
        <x:v>9847519.946892956</x:v>
      </x:c>
      <x:c r="L46" s="76" t="n">
        <x:f>L44-L45</x:f>
        <x:v>10076128.749017239</x:v>
      </x:c>
      <x:c r="M46" s="76" t="n">
        <x:f>M44-M45</x:f>
        <x:v>10295593.19905655</x:v>
      </x:c>
      <x:c r="N46" s="76" t="n">
        <x:f>N44-N45</x:f>
        <x:v>10506279.07109429</x:v>
      </x:c>
      <x:c r="O46" s="76" t="n">
        <x:f>O44-O45</x:f>
        <x:v>10708537.508250518</x:v>
      </x:c>
      <x:c r="P46" s="76" t="n">
        <x:f>P44-P45</x:f>
        <x:v>10902705.607920498</x:v>
      </x:c>
      <x:c r="Q46" s="76" t="n">
        <x:f>Q44-Q45</x:f>
        <x:v>11089106.98360368</x:v>
      </x:c>
      <x:c r="R46" s="76" t="n">
        <x:f>R44-R45</x:f>
        <x:v>11268052.304259531</x:v>
      </x:c>
      <x:c r="S46" s="76" t="n">
        <x:f>S44-S45</x:f>
        <x:v>11439839.812089153</x:v>
      </x:c>
      <x:c r="T46" s="76" t="n">
        <x:f>T44-T45</x:f>
        <x:v>11604755.819605585</x:v>
      </x:c>
      <x:c r="U46" s="76" t="n">
        <x:f>U44-U45</x:f>
        <x:v>11763075.186821362</x:v>
      </x:c>
      <x:c r="V46" s="76" t="n">
        <x:f>V44-V45</x:f>
        <x:v>11915061.77934851</x:v>
      </x:c>
      <x:c r="W46" s="76" t="n">
        <x:f>W44-W45</x:f>
        <x:v>12060968.90817457</x:v>
      </x:c>
      <x:c r="X46" s="76" t="n">
        <x:f>X44-X45</x:f>
        <x:v>12201039.751847588</x:v>
      </x:c>
      <x:c r="Y46" s="76" t="n">
        <x:f>Y44-Y45</x:f>
        <x:v>12335507.761773683</x:v>
      </x:c>
      <x:c r="Z46" s="76" t="n">
        <x:f>Z44-Z45</x:f>
        <x:v>12464597.051302735</x:v>
      </x:c>
      <x:c r="AA46" s="76" t="n">
        <x:f>AA44-AA45</x:f>
        <x:v>12588522.769250628</x:v>
      </x:c>
      <x:c r="AB46" s="76" t="n">
        <x:f>AB44-AB45</x:f>
        <x:v>12707491.458480604</x:v>
      </x:c>
      <x:c r="AC46" s="76" t="n">
        <x:f>AC44-AC45</x:f>
        <x:v>12821701.400141379</x:v>
      </x:c>
      <x:c r="AD46" s="76" t="n">
        <x:f>AD44-AD45</x:f>
        <x:v>12931342.944135722</x:v>
      </x:c>
      <x:c r="AE46" s="76" t="n">
        <x:f>AE44-AE45</x:f>
        <x:v>13036598.826370293</x:v>
      </x:c>
      <x:c r="AF46" s="76" t="n">
        <x:f>AF44-AF45</x:f>
        <x:v>13137644.473315481</x:v>
      </x:c>
      <x:c r="AG46" s="76" t="n">
        <x:f>AG44-AG45</x:f>
        <x:v>13234648.294382863</x:v>
      </x:c>
      <x:c r="AH46" s="76" t="n">
        <x:f>AH44-AH45</x:f>
        <x:v>13327771.962607551</x:v>
      </x:c>
      <x:c r="AI46" s="76" t="n">
        <x:f>AI44-AI45</x:f>
        <x:v>13417170.684103249</x:v>
      </x:c>
      <x:c r="AJ46" s="76" t="n">
        <x:f>AJ44-AJ45</x:f>
        <x:v>13502993.45673912</x:v>
      </x:c>
      <x:c r="AK46" s="76" t="n">
        <x:f>AK44-AK45</x:f>
        <x:v>13585383.318469558</x:v>
      </x:c>
      <x:c r="AL46" s="76" t="n">
        <x:f>AL44-AL45</x:f>
        <x:v>13664477.585730772</x:v>
      </x:c>
    </x:row>
    <x:row r="47">
      <x:c r="A47" s="14" t="str">
        <x:v>Gross Margin</x:v>
      </x:c>
      <x:c r="B47" s="14" t="str"/>
      <x:c r="C47" s="78" t="n">
        <x:f>IF(C44=0,0,C46/C44)</x:f>
        <x:v>0.778137</x:v>
      </x:c>
      <x:c r="D47" s="78" t="n">
        <x:f>IF(D44=0,0,D46/D44)</x:f>
        <x:v>0.778137</x:v>
      </x:c>
      <x:c r="E47" s="78" t="n">
        <x:f>IF(E44=0,0,E46/E44)</x:f>
        <x:v>0.778137</x:v>
      </x:c>
      <x:c r="F47" s="78" t="n">
        <x:f>IF(F44=0,0,F46/F44)</x:f>
        <x:v>0.7781370000000001</x:v>
      </x:c>
      <x:c r="G47" s="78" t="n">
        <x:f>IF(G44=0,0,G46/G44)</x:f>
        <x:v>0.778137</x:v>
      </x:c>
      <x:c r="H47" s="78" t="n">
        <x:f>IF(H44=0,0,H46/H44)</x:f>
        <x:v>0.778137</x:v>
      </x:c>
      <x:c r="I47" s="78" t="n">
        <x:f>IF(I44=0,0,I46/I44)</x:f>
        <x:v>0.7781370000000001</x:v>
      </x:c>
      <x:c r="J47" s="78" t="n">
        <x:f>IF(J44=0,0,J46/J44)</x:f>
        <x:v>0.778137</x:v>
      </x:c>
      <x:c r="K47" s="78" t="n">
        <x:f>IF(K44=0,0,K46/K44)</x:f>
        <x:v>0.778137</x:v>
      </x:c>
      <x:c r="L47" s="78" t="n">
        <x:f>IF(L44=0,0,L46/L44)</x:f>
        <x:v>0.778137</x:v>
      </x:c>
      <x:c r="M47" s="78" t="n">
        <x:f>IF(M44=0,0,M46/M44)</x:f>
        <x:v>0.7781370000000001</x:v>
      </x:c>
      <x:c r="N47" s="78" t="n">
        <x:f>IF(N44=0,0,N46/N44)</x:f>
        <x:v>0.7781370000000001</x:v>
      </x:c>
      <x:c r="O47" s="78" t="n">
        <x:f>IF(O44=0,0,O46/O44)</x:f>
        <x:v>0.778137</x:v>
      </x:c>
      <x:c r="P47" s="78" t="n">
        <x:f>IF(P44=0,0,P46/P44)</x:f>
        <x:v>0.778137</x:v>
      </x:c>
      <x:c r="Q47" s="78" t="n">
        <x:f>IF(Q44=0,0,Q46/Q44)</x:f>
        <x:v>0.7781370000000001</x:v>
      </x:c>
      <x:c r="R47" s="78" t="n">
        <x:f>IF(R44=0,0,R46/R44)</x:f>
        <x:v>0.778137</x:v>
      </x:c>
      <x:c r="S47" s="78" t="n">
        <x:f>IF(S44=0,0,S46/S44)</x:f>
        <x:v>0.7781370000000001</x:v>
      </x:c>
      <x:c r="T47" s="78" t="n">
        <x:f>IF(T44=0,0,T46/T44)</x:f>
        <x:v>0.778137</x:v>
      </x:c>
      <x:c r="U47" s="78" t="n">
        <x:f>IF(U44=0,0,U46/U44)</x:f>
        <x:v>0.778137</x:v>
      </x:c>
      <x:c r="V47" s="78" t="n">
        <x:f>IF(V44=0,0,V46/V44)</x:f>
        <x:v>0.7781370000000001</x:v>
      </x:c>
      <x:c r="W47" s="78" t="n">
        <x:f>IF(W44=0,0,W46/W44)</x:f>
        <x:v>0.7781370000000001</x:v>
      </x:c>
      <x:c r="X47" s="78" t="n">
        <x:f>IF(X44=0,0,X46/X44)</x:f>
        <x:v>0.7781370000000001</x:v>
      </x:c>
      <x:c r="Y47" s="78" t="n">
        <x:f>IF(Y44=0,0,Y46/Y44)</x:f>
        <x:v>0.7781370000000001</x:v>
      </x:c>
      <x:c r="Z47" s="78" t="n">
        <x:f>IF(Z44=0,0,Z46/Z44)</x:f>
        <x:v>0.7781370000000001</x:v>
      </x:c>
      <x:c r="AA47" s="78" t="n">
        <x:f>IF(AA44=0,0,AA46/AA44)</x:f>
        <x:v>0.7781370000000001</x:v>
      </x:c>
      <x:c r="AB47" s="78" t="n">
        <x:f>IF(AB44=0,0,AB46/AB44)</x:f>
        <x:v>0.7781370000000001</x:v>
      </x:c>
      <x:c r="AC47" s="78" t="n">
        <x:f>IF(AC44=0,0,AC46/AC44)</x:f>
        <x:v>0.778137</x:v>
      </x:c>
      <x:c r="AD47" s="78" t="n">
        <x:f>IF(AD44=0,0,AD46/AD44)</x:f>
        <x:v>0.778137</x:v>
      </x:c>
      <x:c r="AE47" s="78" t="n">
        <x:f>IF(AE44=0,0,AE46/AE44)</x:f>
        <x:v>0.778137</x:v>
      </x:c>
      <x:c r="AF47" s="78" t="n">
        <x:f>IF(AF44=0,0,AF46/AF44)</x:f>
        <x:v>0.778137</x:v>
      </x:c>
      <x:c r="AG47" s="78" t="n">
        <x:f>IF(AG44=0,0,AG46/AG44)</x:f>
        <x:v>0.778137</x:v>
      </x:c>
      <x:c r="AH47" s="78" t="n">
        <x:f>IF(AH44=0,0,AH46/AH44)</x:f>
        <x:v>0.778137</x:v>
      </x:c>
      <x:c r="AI47" s="78" t="n">
        <x:f>IF(AI44=0,0,AI46/AI44)</x:f>
        <x:v>0.778137</x:v>
      </x:c>
      <x:c r="AJ47" s="78" t="n">
        <x:f>IF(AJ44=0,0,AJ46/AJ44)</x:f>
        <x:v>0.778137</x:v>
      </x:c>
      <x:c r="AK47" s="78" t="n">
        <x:f>IF(AK44=0,0,AK46/AK44)</x:f>
        <x:v>0.7781370000000001</x:v>
      </x:c>
      <x:c r="AL47" s="78" t="n">
        <x:f>IF(AL44=0,0,AL46/AL44)</x:f>
        <x:v>0.778137</x:v>
      </x:c>
    </x:row>
    <x:row r="48">
      <x:c r="A48" s="14" t="str">
        <x:v>Fixed Opex</x:v>
      </x:c>
      <x:c r="B48" s="14" t="str"/>
      <x:c r="C48" s="74" t="n">
        <x:f>'Assumptions'!C79</x:f>
        <x:v>85000000</x:v>
      </x:c>
      <x:c r="D48" s="74" t="n">
        <x:f>'Assumptions'!D79</x:f>
        <x:v>85000000</x:v>
      </x:c>
      <x:c r="E48" s="74" t="n">
        <x:f>'Assumptions'!E79</x:f>
        <x:v>85000000</x:v>
      </x:c>
      <x:c r="F48" s="74" t="n">
        <x:f>'Assumptions'!F79</x:f>
        <x:v>85000000</x:v>
      </x:c>
      <x:c r="G48" s="74" t="n">
        <x:f>'Assumptions'!G79</x:f>
        <x:v>85000000</x:v>
      </x:c>
      <x:c r="H48" s="74" t="n">
        <x:f>'Assumptions'!H79</x:f>
        <x:v>85000000</x:v>
      </x:c>
      <x:c r="I48" s="74" t="n">
        <x:f>'Assumptions'!I79</x:f>
        <x:v>85000000</x:v>
      </x:c>
      <x:c r="J48" s="74" t="n">
        <x:f>'Assumptions'!J79</x:f>
        <x:v>85000000</x:v>
      </x:c>
      <x:c r="K48" s="74" t="n">
        <x:f>'Assumptions'!K79</x:f>
        <x:v>85000000</x:v>
      </x:c>
      <x:c r="L48" s="74" t="n">
        <x:f>'Assumptions'!L79</x:f>
        <x:v>85000000</x:v>
      </x:c>
      <x:c r="M48" s="74" t="n">
        <x:f>'Assumptions'!M79</x:f>
        <x:v>85000000</x:v>
      </x:c>
      <x:c r="N48" s="74" t="n">
        <x:f>'Assumptions'!N79</x:f>
        <x:v>85000000</x:v>
      </x:c>
      <x:c r="O48" s="74" t="n">
        <x:f>'Assumptions'!O79</x:f>
        <x:v>85000000</x:v>
      </x:c>
      <x:c r="P48" s="74" t="n">
        <x:f>'Assumptions'!P79</x:f>
        <x:v>85000000</x:v>
      </x:c>
      <x:c r="Q48" s="74" t="n">
        <x:f>'Assumptions'!Q79</x:f>
        <x:v>85000000</x:v>
      </x:c>
      <x:c r="R48" s="74" t="n">
        <x:f>'Assumptions'!R79</x:f>
        <x:v>85000000</x:v>
      </x:c>
      <x:c r="S48" s="74" t="n">
        <x:f>'Assumptions'!S79</x:f>
        <x:v>85000000</x:v>
      </x:c>
      <x:c r="T48" s="74" t="n">
        <x:f>'Assumptions'!T79</x:f>
        <x:v>85000000</x:v>
      </x:c>
      <x:c r="U48" s="74" t="n">
        <x:f>'Assumptions'!U79</x:f>
        <x:v>85000000</x:v>
      </x:c>
      <x:c r="V48" s="74" t="n">
        <x:f>'Assumptions'!V79</x:f>
        <x:v>85000000</x:v>
      </x:c>
      <x:c r="W48" s="74" t="n">
        <x:f>'Assumptions'!W79</x:f>
        <x:v>85000000</x:v>
      </x:c>
      <x:c r="X48" s="74" t="n">
        <x:f>'Assumptions'!X79</x:f>
        <x:v>85000000</x:v>
      </x:c>
      <x:c r="Y48" s="74" t="n">
        <x:f>'Assumptions'!Y79</x:f>
        <x:v>85000000</x:v>
      </x:c>
      <x:c r="Z48" s="74" t="n">
        <x:f>'Assumptions'!Z79</x:f>
        <x:v>85000000</x:v>
      </x:c>
      <x:c r="AA48" s="74" t="n">
        <x:f>'Assumptions'!AA79</x:f>
        <x:v>85000000</x:v>
      </x:c>
      <x:c r="AB48" s="74" t="n">
        <x:f>'Assumptions'!AB79</x:f>
        <x:v>85000000</x:v>
      </x:c>
      <x:c r="AC48" s="74" t="n">
        <x:f>'Assumptions'!AC79</x:f>
        <x:v>85000000</x:v>
      </x:c>
      <x:c r="AD48" s="74" t="n">
        <x:f>'Assumptions'!AD79</x:f>
        <x:v>85000000</x:v>
      </x:c>
      <x:c r="AE48" s="74" t="n">
        <x:f>'Assumptions'!AE79</x:f>
        <x:v>85000000</x:v>
      </x:c>
      <x:c r="AF48" s="74" t="n">
        <x:f>'Assumptions'!AF79</x:f>
        <x:v>85000000</x:v>
      </x:c>
      <x:c r="AG48" s="74" t="n">
        <x:f>'Assumptions'!AG79</x:f>
        <x:v>85000000</x:v>
      </x:c>
      <x:c r="AH48" s="74" t="n">
        <x:f>'Assumptions'!AH79</x:f>
        <x:v>85000000</x:v>
      </x:c>
      <x:c r="AI48" s="74" t="n">
        <x:f>'Assumptions'!AI79</x:f>
        <x:v>85000000</x:v>
      </x:c>
      <x:c r="AJ48" s="74" t="n">
        <x:f>'Assumptions'!AJ79</x:f>
        <x:v>85000000</x:v>
      </x:c>
      <x:c r="AK48" s="74" t="n">
        <x:f>'Assumptions'!AK79</x:f>
        <x:v>85000000</x:v>
      </x:c>
      <x:c r="AL48" s="74" t="n">
        <x:f>'Assumptions'!AL79</x:f>
        <x:v>85000000</x:v>
      </x:c>
    </x:row>
    <x:row r="49">
      <x:c r="A49" s="14" t="str">
        <x:v>Operating Profit / Loss</x:v>
      </x:c>
      <x:c r="B49" s="14" t="str"/>
      <x:c r="C49" s="74" t="n">
        <x:f>C46-C48</x:f>
        <x:v>-76035861.76</x:v>
      </x:c>
      <x:c r="D49" s="74" t="n">
        <x:f>D46-D48</x:f>
        <x:v>-76394427.2896</x:v>
      </x:c>
      <x:c r="E49" s="74" t="n">
        <x:f>E46-E48</x:f>
        <x:v>-76738650.198016</x:v>
      </x:c>
      <x:c r="F49" s="74" t="n">
        <x:f>F46-F48</x:f>
        <x:v>-76446594.59009536</x:v>
      </x:c>
      <x:c r="G49" s="74" t="n">
        <x:f>G46-G48</x:f>
        <x:v>-76166221.20649154</x:v>
      </x:c>
      <x:c r="H49" s="74" t="n">
        <x:f>H46-H48</x:f>
        <x:v>-75897062.75823188</x:v>
      </x:c>
      <x:c r="I49" s="74" t="n">
        <x:f>I46-I48</x:f>
        <x:v>-75638670.64790261</x:v>
      </x:c>
      <x:c r="J49" s="74" t="n">
        <x:f>J46-J48</x:f>
        <x:v>-75390614.2219865</x:v>
      </x:c>
      <x:c r="K49" s="74" t="n">
        <x:f>K46-K48</x:f>
        <x:v>-75152480.05310704</x:v>
      </x:c>
      <x:c r="L49" s="74" t="n">
        <x:f>L46-L48</x:f>
        <x:v>-74923871.25098276</x:v>
      </x:c>
      <x:c r="M49" s="74" t="n">
        <x:f>M46-M48</x:f>
        <x:v>-74704406.80094345</x:v>
      </x:c>
      <x:c r="N49" s="74" t="n">
        <x:f>N46-N48</x:f>
        <x:v>-74493720.92890571</x:v>
      </x:c>
      <x:c r="O49" s="74" t="n">
        <x:f>O46-O48</x:f>
        <x:v>-74291462.49174948</x:v>
      </x:c>
      <x:c r="P49" s="74" t="n">
        <x:f>P46-P48</x:f>
        <x:v>-74097294.3920795</x:v>
      </x:c>
      <x:c r="Q49" s="74" t="n">
        <x:f>Q46-Q48</x:f>
        <x:v>-73910893.01639631</x:v>
      </x:c>
      <x:c r="R49" s="74" t="n">
        <x:f>R46-R48</x:f>
        <x:v>-73731947.69574046</x:v>
      </x:c>
      <x:c r="S49" s="74" t="n">
        <x:f>S46-S48</x:f>
        <x:v>-73560160.18791085</x:v>
      </x:c>
      <x:c r="T49" s="74" t="n">
        <x:f>T46-T48</x:f>
        <x:v>-73395244.18039441</x:v>
      </x:c>
      <x:c r="U49" s="74" t="n">
        <x:f>U46-U48</x:f>
        <x:v>-73236924.81317864</x:v>
      </x:c>
      <x:c r="V49" s="74" t="n">
        <x:f>V46-V48</x:f>
        <x:v>-73084938.22065149</x:v>
      </x:c>
      <x:c r="W49" s="74" t="n">
        <x:f>W46-W48</x:f>
        <x:v>-72939031.09182543</x:v>
      </x:c>
      <x:c r="X49" s="74" t="n">
        <x:f>X46-X48</x:f>
        <x:v>-72798960.2481524</x:v>
      </x:c>
      <x:c r="Y49" s="74" t="n">
        <x:f>Y46-Y48</x:f>
        <x:v>-72664492.23822632</x:v>
      </x:c>
      <x:c r="Z49" s="74" t="n">
        <x:f>Z46-Z48</x:f>
        <x:v>-72535402.94869727</x:v>
      </x:c>
      <x:c r="AA49" s="74" t="n">
        <x:f>AA46-AA48</x:f>
        <x:v>-72411477.23074937</x:v>
      </x:c>
      <x:c r="AB49" s="74" t="n">
        <x:f>AB46-AB48</x:f>
        <x:v>-72292508.5415194</x:v>
      </x:c>
      <x:c r="AC49" s="74" t="n">
        <x:f>AC46-AC48</x:f>
        <x:v>-72178298.59985863</x:v>
      </x:c>
      <x:c r="AD49" s="74" t="n">
        <x:f>AD46-AD48</x:f>
        <x:v>-72068657.05586427</x:v>
      </x:c>
      <x:c r="AE49" s="74" t="n">
        <x:f>AE46-AE48</x:f>
        <x:v>-71963401.1736297</x:v>
      </x:c>
      <x:c r="AF49" s="74" t="n">
        <x:f>AF46-AF48</x:f>
        <x:v>-71862355.52668452</x:v>
      </x:c>
      <x:c r="AG49" s="74" t="n">
        <x:f>AG46-AG48</x:f>
        <x:v>-71765351.70561713</x:v>
      </x:c>
      <x:c r="AH49" s="74" t="n">
        <x:f>AH46-AH48</x:f>
        <x:v>-71672228.03739245</x:v>
      </x:c>
      <x:c r="AI49" s="74" t="n">
        <x:f>AI46-AI48</x:f>
        <x:v>-71582829.31589675</x:v>
      </x:c>
      <x:c r="AJ49" s="74" t="n">
        <x:f>AJ46-AJ48</x:f>
        <x:v>-71497006.54326087</x:v>
      </x:c>
      <x:c r="AK49" s="74" t="n">
        <x:f>AK46-AK48</x:f>
        <x:v>-71414616.68153045</x:v>
      </x:c>
      <x:c r="AL49" s="74" t="n">
        <x:f>AL46-AL48</x:f>
        <x:v>-71335522.41426922</x:v>
      </x:c>
    </x:row>
    <x:row r="50">
      <x:c r="A50" s="14" t="str">
        <x:v>Funding</x:v>
      </x:c>
      <x:c r="B50" s="14" t="str"/>
      <x:c r="C50" s="74" t="n">
        <x:f>IF(1='Assumptions'!$D$10,'Assumptions'!$D$9,0)</x:f>
        <x:v>1500000000</x:v>
      </x:c>
      <x:c r="D50" s="74" t="n">
        <x:f>IF(2='Assumptions'!$D$10,'Assumptions'!$D$9,0)</x:f>
        <x:v>0</x:v>
      </x:c>
      <x:c r="E50" s="74" t="n">
        <x:f>IF(3='Assumptions'!$D$10,'Assumptions'!$D$9,0)</x:f>
        <x:v>0</x:v>
      </x:c>
      <x:c r="F50" s="74" t="n">
        <x:f>IF(4='Assumptions'!$D$10,'Assumptions'!$D$9,0)</x:f>
        <x:v>0</x:v>
      </x:c>
      <x:c r="G50" s="74" t="n">
        <x:f>IF(5='Assumptions'!$D$10,'Assumptions'!$D$9,0)</x:f>
        <x:v>0</x:v>
      </x:c>
      <x:c r="H50" s="74" t="n">
        <x:f>IF(6='Assumptions'!$D$10,'Assumptions'!$D$9,0)</x:f>
        <x:v>0</x:v>
      </x:c>
      <x:c r="I50" s="74" t="n">
        <x:f>IF(7='Assumptions'!$D$10,'Assumptions'!$D$9,0)</x:f>
        <x:v>0</x:v>
      </x:c>
      <x:c r="J50" s="74" t="n">
        <x:f>IF(8='Assumptions'!$D$10,'Assumptions'!$D$9,0)</x:f>
        <x:v>0</x:v>
      </x:c>
      <x:c r="K50" s="74" t="n">
        <x:f>IF(9='Assumptions'!$D$10,'Assumptions'!$D$9,0)</x:f>
        <x:v>0</x:v>
      </x:c>
      <x:c r="L50" s="74" t="n">
        <x:f>IF(10='Assumptions'!$D$10,'Assumptions'!$D$9,0)</x:f>
        <x:v>0</x:v>
      </x:c>
      <x:c r="M50" s="74" t="n">
        <x:f>IF(11='Assumptions'!$D$10,'Assumptions'!$D$9,0)</x:f>
        <x:v>0</x:v>
      </x:c>
      <x:c r="N50" s="74" t="n">
        <x:f>IF(12='Assumptions'!$D$10,'Assumptions'!$D$9,0)</x:f>
        <x:v>0</x:v>
      </x:c>
      <x:c r="O50" s="74" t="n">
        <x:f>IF(13='Assumptions'!$D$10,'Assumptions'!$D$9,0)</x:f>
        <x:v>0</x:v>
      </x:c>
      <x:c r="P50" s="74" t="n">
        <x:f>IF(14='Assumptions'!$D$10,'Assumptions'!$D$9,0)</x:f>
        <x:v>0</x:v>
      </x:c>
      <x:c r="Q50" s="74" t="n">
        <x:f>IF(15='Assumptions'!$D$10,'Assumptions'!$D$9,0)</x:f>
        <x:v>0</x:v>
      </x:c>
      <x:c r="R50" s="74" t="n">
        <x:f>IF(16='Assumptions'!$D$10,'Assumptions'!$D$9,0)</x:f>
        <x:v>0</x:v>
      </x:c>
      <x:c r="S50" s="74" t="n">
        <x:f>IF(17='Assumptions'!$D$10,'Assumptions'!$D$9,0)</x:f>
        <x:v>0</x:v>
      </x:c>
      <x:c r="T50" s="74" t="n">
        <x:f>IF(18='Assumptions'!$D$10,'Assumptions'!$D$9,0)</x:f>
        <x:v>0</x:v>
      </x:c>
      <x:c r="U50" s="74" t="n">
        <x:f>IF(19='Assumptions'!$D$10,'Assumptions'!$D$9,0)</x:f>
        <x:v>0</x:v>
      </x:c>
      <x:c r="V50" s="74" t="n">
        <x:f>IF(20='Assumptions'!$D$10,'Assumptions'!$D$9,0)</x:f>
        <x:v>0</x:v>
      </x:c>
      <x:c r="W50" s="74" t="n">
        <x:f>IF(21='Assumptions'!$D$10,'Assumptions'!$D$9,0)</x:f>
        <x:v>0</x:v>
      </x:c>
      <x:c r="X50" s="74" t="n">
        <x:f>IF(22='Assumptions'!$D$10,'Assumptions'!$D$9,0)</x:f>
        <x:v>0</x:v>
      </x:c>
      <x:c r="Y50" s="74" t="n">
        <x:f>IF(23='Assumptions'!$D$10,'Assumptions'!$D$9,0)</x:f>
        <x:v>0</x:v>
      </x:c>
      <x:c r="Z50" s="74" t="n">
        <x:f>IF(24='Assumptions'!$D$10,'Assumptions'!$D$9,0)</x:f>
        <x:v>0</x:v>
      </x:c>
      <x:c r="AA50" s="74" t="n">
        <x:f>IF(25='Assumptions'!$D$10,'Assumptions'!$D$9,0)</x:f>
        <x:v>0</x:v>
      </x:c>
      <x:c r="AB50" s="74" t="n">
        <x:f>IF(26='Assumptions'!$D$10,'Assumptions'!$D$9,0)</x:f>
        <x:v>0</x:v>
      </x:c>
      <x:c r="AC50" s="74" t="n">
        <x:f>IF(27='Assumptions'!$D$10,'Assumptions'!$D$9,0)</x:f>
        <x:v>0</x:v>
      </x:c>
      <x:c r="AD50" s="74" t="n">
        <x:f>IF(28='Assumptions'!$D$10,'Assumptions'!$D$9,0)</x:f>
        <x:v>0</x:v>
      </x:c>
      <x:c r="AE50" s="74" t="n">
        <x:f>IF(29='Assumptions'!$D$10,'Assumptions'!$D$9,0)</x:f>
        <x:v>0</x:v>
      </x:c>
      <x:c r="AF50" s="74" t="n">
        <x:f>IF(30='Assumptions'!$D$10,'Assumptions'!$D$9,0)</x:f>
        <x:v>0</x:v>
      </x:c>
      <x:c r="AG50" s="74" t="n">
        <x:f>IF(31='Assumptions'!$D$10,'Assumptions'!$D$9,0)</x:f>
        <x:v>0</x:v>
      </x:c>
      <x:c r="AH50" s="74" t="n">
        <x:f>IF(32='Assumptions'!$D$10,'Assumptions'!$D$9,0)</x:f>
        <x:v>0</x:v>
      </x:c>
      <x:c r="AI50" s="74" t="n">
        <x:f>IF(33='Assumptions'!$D$10,'Assumptions'!$D$9,0)</x:f>
        <x:v>0</x:v>
      </x:c>
      <x:c r="AJ50" s="74" t="n">
        <x:f>IF(34='Assumptions'!$D$10,'Assumptions'!$D$9,0)</x:f>
        <x:v>0</x:v>
      </x:c>
      <x:c r="AK50" s="74" t="n">
        <x:f>IF(35='Assumptions'!$D$10,'Assumptions'!$D$9,0)</x:f>
        <x:v>0</x:v>
      </x:c>
      <x:c r="AL50" s="74" t="n">
        <x:f>IF(36='Assumptions'!$D$10,'Assumptions'!$D$9,0)</x:f>
        <x:v>0</x:v>
      </x:c>
    </x:row>
    <x:row r="51">
      <x:c r="A51" s="14" t="str">
        <x:v>Net Cash Flow</x:v>
      </x:c>
      <x:c r="B51" s="14" t="str"/>
      <x:c r="C51" s="74" t="n">
        <x:f>C49+C50</x:f>
        <x:v>1423964138.24</x:v>
      </x:c>
      <x:c r="D51" s="74" t="n">
        <x:f>D49+D50</x:f>
        <x:v>-76394427.2896</x:v>
      </x:c>
      <x:c r="E51" s="74" t="n">
        <x:f>E49+E50</x:f>
        <x:v>-76738650.198016</x:v>
      </x:c>
      <x:c r="F51" s="74" t="n">
        <x:f>F49+F50</x:f>
        <x:v>-76446594.59009536</x:v>
      </x:c>
      <x:c r="G51" s="74" t="n">
        <x:f>G49+G50</x:f>
        <x:v>-76166221.20649154</x:v>
      </x:c>
      <x:c r="H51" s="74" t="n">
        <x:f>H49+H50</x:f>
        <x:v>-75897062.75823188</x:v>
      </x:c>
      <x:c r="I51" s="74" t="n">
        <x:f>I49+I50</x:f>
        <x:v>-75638670.64790261</x:v>
      </x:c>
      <x:c r="J51" s="74" t="n">
        <x:f>J49+J50</x:f>
        <x:v>-75390614.2219865</x:v>
      </x:c>
      <x:c r="K51" s="74" t="n">
        <x:f>K49+K50</x:f>
        <x:v>-75152480.05310704</x:v>
      </x:c>
      <x:c r="L51" s="74" t="n">
        <x:f>L49+L50</x:f>
        <x:v>-74923871.25098276</x:v>
      </x:c>
      <x:c r="M51" s="74" t="n">
        <x:f>M49+M50</x:f>
        <x:v>-74704406.80094345</x:v>
      </x:c>
      <x:c r="N51" s="74" t="n">
        <x:f>N49+N50</x:f>
        <x:v>-74493720.92890571</x:v>
      </x:c>
      <x:c r="O51" s="74" t="n">
        <x:f>O49+O50</x:f>
        <x:v>-74291462.49174948</x:v>
      </x:c>
      <x:c r="P51" s="74" t="n">
        <x:f>P49+P50</x:f>
        <x:v>-74097294.3920795</x:v>
      </x:c>
      <x:c r="Q51" s="74" t="n">
        <x:f>Q49+Q50</x:f>
        <x:v>-73910893.01639631</x:v>
      </x:c>
      <x:c r="R51" s="74" t="n">
        <x:f>R49+R50</x:f>
        <x:v>-73731947.69574046</x:v>
      </x:c>
      <x:c r="S51" s="74" t="n">
        <x:f>S49+S50</x:f>
        <x:v>-73560160.18791085</x:v>
      </x:c>
      <x:c r="T51" s="74" t="n">
        <x:f>T49+T50</x:f>
        <x:v>-73395244.18039441</x:v>
      </x:c>
      <x:c r="U51" s="74" t="n">
        <x:f>U49+U50</x:f>
        <x:v>-73236924.81317864</x:v>
      </x:c>
      <x:c r="V51" s="74" t="n">
        <x:f>V49+V50</x:f>
        <x:v>-73084938.22065149</x:v>
      </x:c>
      <x:c r="W51" s="74" t="n">
        <x:f>W49+W50</x:f>
        <x:v>-72939031.09182543</x:v>
      </x:c>
      <x:c r="X51" s="74" t="n">
        <x:f>X49+X50</x:f>
        <x:v>-72798960.2481524</x:v>
      </x:c>
      <x:c r="Y51" s="74" t="n">
        <x:f>Y49+Y50</x:f>
        <x:v>-72664492.23822632</x:v>
      </x:c>
      <x:c r="Z51" s="74" t="n">
        <x:f>Z49+Z50</x:f>
        <x:v>-72535402.94869727</x:v>
      </x:c>
      <x:c r="AA51" s="74" t="n">
        <x:f>AA49+AA50</x:f>
        <x:v>-72411477.23074937</x:v>
      </x:c>
      <x:c r="AB51" s="74" t="n">
        <x:f>AB49+AB50</x:f>
        <x:v>-72292508.5415194</x:v>
      </x:c>
      <x:c r="AC51" s="74" t="n">
        <x:f>AC49+AC50</x:f>
        <x:v>-72178298.59985863</x:v>
      </x:c>
      <x:c r="AD51" s="74" t="n">
        <x:f>AD49+AD50</x:f>
        <x:v>-72068657.05586427</x:v>
      </x:c>
      <x:c r="AE51" s="74" t="n">
        <x:f>AE49+AE50</x:f>
        <x:v>-71963401.1736297</x:v>
      </x:c>
      <x:c r="AF51" s="74" t="n">
        <x:f>AF49+AF50</x:f>
        <x:v>-71862355.52668452</x:v>
      </x:c>
      <x:c r="AG51" s="74" t="n">
        <x:f>AG49+AG50</x:f>
        <x:v>-71765351.70561713</x:v>
      </x:c>
      <x:c r="AH51" s="74" t="n">
        <x:f>AH49+AH50</x:f>
        <x:v>-71672228.03739245</x:v>
      </x:c>
      <x:c r="AI51" s="74" t="n">
        <x:f>AI49+AI50</x:f>
        <x:v>-71582829.31589675</x:v>
      </x:c>
      <x:c r="AJ51" s="74" t="n">
        <x:f>AJ49+AJ50</x:f>
        <x:v>-71497006.54326087</x:v>
      </x:c>
      <x:c r="AK51" s="74" t="n">
        <x:f>AK49+AK50</x:f>
        <x:v>-71414616.68153045</x:v>
      </x:c>
      <x:c r="AL51" s="74" t="n">
        <x:f>AL49+AL50</x:f>
        <x:v>-71335522.41426922</x:v>
      </x:c>
    </x:row>
    <x:row r="52">
      <x:c r="A52" s="14" t="str">
        <x:v>Beginning Cash</x:v>
      </x:c>
      <x:c r="B52" s="14" t="str"/>
      <x:c r="C52" s="74" t="n">
        <x:f>'Assumptions'!$D$8</x:f>
        <x:v>500000000</x:v>
      </x:c>
      <x:c r="D52" s="74" t="n">
        <x:f>C53</x:f>
        <x:v>1923964138.24</x:v>
      </x:c>
      <x:c r="E52" s="74" t="n">
        <x:f>D53</x:f>
        <x:v>1847569710.9504</x:v>
      </x:c>
      <x:c r="F52" s="74" t="n">
        <x:f>E53</x:f>
        <x:v>1770831060.7523842</x:v>
      </x:c>
      <x:c r="G52" s="74" t="n">
        <x:f>F53</x:f>
        <x:v>1694384466.162289</x:v>
      </x:c>
      <x:c r="H52" s="74" t="n">
        <x:f>G53</x:f>
        <x:v>1618218244.9557974</x:v>
      </x:c>
      <x:c r="I52" s="74" t="n">
        <x:f>H53</x:f>
        <x:v>1542321182.1975656</x:v>
      </x:c>
      <x:c r="J52" s="74" t="n">
        <x:f>I53</x:f>
        <x:v>1466682511.549663</x:v>
      </x:c>
      <x:c r="K52" s="74" t="n">
        <x:f>J53</x:f>
        <x:v>1391291897.3276765</x:v>
      </x:c>
      <x:c r="L52" s="74" t="n">
        <x:f>K53</x:f>
        <x:v>1316139417.2745695</x:v>
      </x:c>
      <x:c r="M52" s="74" t="n">
        <x:f>L53</x:f>
        <x:v>1241215546.0235868</x:v>
      </x:c>
      <x:c r="N52" s="74" t="n">
        <x:f>M53</x:f>
        <x:v>1166511139.2226434</x:v>
      </x:c>
      <x:c r="O52" s="74" t="n">
        <x:f>N53</x:f>
        <x:v>1092017418.2937376</x:v>
      </x:c>
      <x:c r="P52" s="74" t="n">
        <x:f>O53</x:f>
        <x:v>1017725955.8019881</x:v>
      </x:c>
      <x:c r="Q52" s="74" t="n">
        <x:f>P53</x:f>
        <x:v>943628661.4099087</x:v>
      </x:c>
      <x:c r="R52" s="74" t="n">
        <x:f>Q53</x:f>
        <x:v>869717768.3935124</x:v>
      </x:c>
      <x:c r="S52" s="74" t="n">
        <x:f>R53</x:f>
        <x:v>795985820.6977719</x:v>
      </x:c>
      <x:c r="T52" s="74" t="n">
        <x:f>S53</x:f>
        <x:v>722425660.509861</x:v>
      </x:c>
      <x:c r="U52" s="74" t="n">
        <x:f>T53</x:f>
        <x:v>649030416.3294666</x:v>
      </x:c>
      <x:c r="V52" s="74" t="n">
        <x:f>U53</x:f>
        <x:v>575793491.5162879</x:v>
      </x:c>
      <x:c r="W52" s="74" t="n">
        <x:f>V53</x:f>
        <x:v>502708553.2956364</x:v>
      </x:c>
      <x:c r="X52" s="74" t="n">
        <x:f>W53</x:f>
        <x:v>429769522.203811</x:v>
      </x:c>
      <x:c r="Y52" s="74" t="n">
        <x:f>X53</x:f>
        <x:v>356970561.95565856</x:v>
      </x:c>
      <x:c r="Z52" s="74" t="n">
        <x:f>Y53</x:f>
        <x:v>284306069.71743226</x:v>
      </x:c>
      <x:c r="AA52" s="74" t="n">
        <x:f>Z53</x:f>
        <x:v>211770666.768735</x:v>
      </x:c>
      <x:c r="AB52" s="74" t="n">
        <x:f>AA53</x:f>
        <x:v>139359189.53798562</x:v>
      </x:c>
      <x:c r="AC52" s="74" t="n">
        <x:f>AB53</x:f>
        <x:v>67066680.99646622</x:v>
      </x:c>
      <x:c r="AD52" s="74" t="n">
        <x:f>AC53</x:f>
        <x:v>-5111617.603392407</x:v>
      </x:c>
      <x:c r="AE52" s="74" t="n">
        <x:f>AD53</x:f>
        <x:v>-77180274.65925668</x:v>
      </x:c>
      <x:c r="AF52" s="74" t="n">
        <x:f>AE53</x:f>
        <x:v>-149143675.8328864</x:v>
      </x:c>
      <x:c r="AG52" s="74" t="n">
        <x:f>AF53</x:f>
        <x:v>-221006031.35957092</x:v>
      </x:c>
      <x:c r="AH52" s="74" t="n">
        <x:f>AG53</x:f>
        <x:v>-292771383.06518805</x:v>
      </x:c>
      <x:c r="AI52" s="74" t="n">
        <x:f>AH53</x:f>
        <x:v>-364443611.1025805</x:v>
      </x:c>
      <x:c r="AJ52" s="74" t="n">
        <x:f>AI53</x:f>
        <x:v>-436026440.41847724</x:v>
      </x:c>
      <x:c r="AK52" s="74" t="n">
        <x:f>AJ53</x:f>
        <x:v>-507523446.9617381</x:v>
      </x:c>
      <x:c r="AL52" s="74" t="n">
        <x:f>AK53</x:f>
        <x:v>-578938063.6432686</x:v>
      </x:c>
    </x:row>
    <x:row r="53">
      <x:c r="A53" s="14" t="str">
        <x:v>Ending Cash</x:v>
      </x:c>
      <x:c r="B53" s="14" t="str"/>
      <x:c r="C53" s="76" t="n">
        <x:f>C52+C51</x:f>
        <x:v>1923964138.24</x:v>
      </x:c>
      <x:c r="D53" s="76" t="n">
        <x:f>D52+D51</x:f>
        <x:v>1847569710.9504</x:v>
      </x:c>
      <x:c r="E53" s="76" t="n">
        <x:f>E52+E51</x:f>
        <x:v>1770831060.7523842</x:v>
      </x:c>
      <x:c r="F53" s="76" t="n">
        <x:f>F52+F51</x:f>
        <x:v>1694384466.162289</x:v>
      </x:c>
      <x:c r="G53" s="76" t="n">
        <x:f>G52+G51</x:f>
        <x:v>1618218244.9557974</x:v>
      </x:c>
      <x:c r="H53" s="76" t="n">
        <x:f>H52+H51</x:f>
        <x:v>1542321182.1975656</x:v>
      </x:c>
      <x:c r="I53" s="76" t="n">
        <x:f>I52+I51</x:f>
        <x:v>1466682511.549663</x:v>
      </x:c>
      <x:c r="J53" s="76" t="n">
        <x:f>J52+J51</x:f>
        <x:v>1391291897.3276765</x:v>
      </x:c>
      <x:c r="K53" s="76" t="n">
        <x:f>K52+K51</x:f>
        <x:v>1316139417.2745695</x:v>
      </x:c>
      <x:c r="L53" s="76" t="n">
        <x:f>L52+L51</x:f>
        <x:v>1241215546.0235868</x:v>
      </x:c>
      <x:c r="M53" s="76" t="n">
        <x:f>M52+M51</x:f>
        <x:v>1166511139.2226434</x:v>
      </x:c>
      <x:c r="N53" s="76" t="n">
        <x:f>N52+N51</x:f>
        <x:v>1092017418.2937376</x:v>
      </x:c>
      <x:c r="O53" s="76" t="n">
        <x:f>O52+O51</x:f>
        <x:v>1017725955.8019881</x:v>
      </x:c>
      <x:c r="P53" s="76" t="n">
        <x:f>P52+P51</x:f>
        <x:v>943628661.4099087</x:v>
      </x:c>
      <x:c r="Q53" s="76" t="n">
        <x:f>Q52+Q51</x:f>
        <x:v>869717768.3935124</x:v>
      </x:c>
      <x:c r="R53" s="76" t="n">
        <x:f>R52+R51</x:f>
        <x:v>795985820.6977719</x:v>
      </x:c>
      <x:c r="S53" s="76" t="n">
        <x:f>S52+S51</x:f>
        <x:v>722425660.509861</x:v>
      </x:c>
      <x:c r="T53" s="76" t="n">
        <x:f>T52+T51</x:f>
        <x:v>649030416.3294666</x:v>
      </x:c>
      <x:c r="U53" s="76" t="n">
        <x:f>U52+U51</x:f>
        <x:v>575793491.5162879</x:v>
      </x:c>
      <x:c r="V53" s="76" t="n">
        <x:f>V52+V51</x:f>
        <x:v>502708553.2956364</x:v>
      </x:c>
      <x:c r="W53" s="76" t="n">
        <x:f>W52+W51</x:f>
        <x:v>429769522.203811</x:v>
      </x:c>
      <x:c r="X53" s="76" t="n">
        <x:f>X52+X51</x:f>
        <x:v>356970561.95565856</x:v>
      </x:c>
      <x:c r="Y53" s="76" t="n">
        <x:f>Y52+Y51</x:f>
        <x:v>284306069.71743226</x:v>
      </x:c>
      <x:c r="Z53" s="76" t="n">
        <x:f>Z52+Z51</x:f>
        <x:v>211770666.768735</x:v>
      </x:c>
      <x:c r="AA53" s="76" t="n">
        <x:f>AA52+AA51</x:f>
        <x:v>139359189.53798562</x:v>
      </x:c>
      <x:c r="AB53" s="76" t="n">
        <x:f>AB52+AB51</x:f>
        <x:v>67066680.99646622</x:v>
      </x:c>
      <x:c r="AC53" s="76" t="n">
        <x:f>AC52+AC51</x:f>
        <x:v>-5111617.603392407</x:v>
      </x:c>
      <x:c r="AD53" s="76" t="n">
        <x:f>AD52+AD51</x:f>
        <x:v>-77180274.65925668</x:v>
      </x:c>
      <x:c r="AE53" s="76" t="n">
        <x:f>AE52+AE51</x:f>
        <x:v>-149143675.8328864</x:v>
      </x:c>
      <x:c r="AF53" s="76" t="n">
        <x:f>AF52+AF51</x:f>
        <x:v>-221006031.35957092</x:v>
      </x:c>
      <x:c r="AG53" s="76" t="n">
        <x:f>AG52+AG51</x:f>
        <x:v>-292771383.06518805</x:v>
      </x:c>
      <x:c r="AH53" s="76" t="n">
        <x:f>AH52+AH51</x:f>
        <x:v>-364443611.1025805</x:v>
      </x:c>
      <x:c r="AI53" s="76" t="n">
        <x:f>AI52+AI51</x:f>
        <x:v>-436026440.41847724</x:v>
      </x:c>
      <x:c r="AJ53" s="76" t="n">
        <x:f>AJ52+AJ51</x:f>
        <x:v>-507523446.9617381</x:v>
      </x:c>
      <x:c r="AK53" s="76" t="n">
        <x:f>AK52+AK51</x:f>
        <x:v>-578938063.6432686</x:v>
      </x:c>
      <x:c r="AL53" s="76" t="n">
        <x:f>AL52+AL51</x:f>
        <x:v>-650273586.0575378</x:v>
      </x:c>
    </x:row>
    <x:row r="54">
      <x:c r="A54" s="26" t="str">
        <x:v>Base Scenario Engine</x:v>
      </x:c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  <x:c r="AA54" s="26"/>
      <x:c r="AB54" s="26"/>
      <x:c r="AC54" s="26"/>
      <x:c r="AD54" s="26"/>
      <x:c r="AE54" s="26"/>
      <x:c r="AF54" s="26"/>
      <x:c r="AG54" s="26"/>
      <x:c r="AH54" s="26"/>
      <x:c r="AI54" s="26"/>
      <x:c r="AJ54" s="26"/>
      <x:c r="AK54" s="26"/>
      <x:c r="AL54" s="26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</x:row>
    <x:row r="56">
      <x:c r="A56" s="14" t="str">
        <x:v>Beginning Customers</x:v>
      </x:c>
      <x:c r="B56" s="14" t="str"/>
      <x:c r="C56" s="73" t="n">
        <x:f>'Assumptions'!$D$7</x:f>
        <x:v>3</x:v>
      </x:c>
      <x:c r="D56" s="73" t="n">
        <x:f>C59</x:f>
        <x:v>2.925</x:v>
      </x:c>
      <x:c r="E56" s="73" t="n">
        <x:f>D59</x:f>
        <x:v>2.8518749999999997</x:v>
      </x:c>
      <x:c r="F56" s="73" t="n">
        <x:f>E59</x:f>
        <x:v>2.780578125</x:v>
      </x:c>
      <x:c r="G56" s="73" t="n">
        <x:f>F59</x:f>
        <x:v>4.311063671875</x:v>
      </x:c>
      <x:c r="H56" s="73" t="n">
        <x:f>G59</x:f>
        <x:v>5.8032870800781255</x:v>
      </x:c>
      <x:c r="I56" s="73" t="n">
        <x:f>H59</x:f>
        <x:v>7.258204903076173</x:v>
      </x:c>
      <x:c r="J56" s="73" t="n">
        <x:f>I59</x:f>
        <x:v>8.676749780499268</x:v>
      </x:c>
      <x:c r="K56" s="73" t="n">
        <x:f>J59</x:f>
        <x:v>10.059831035986786</x:v>
      </x:c>
      <x:c r="L56" s="73" t="n">
        <x:f>K59</x:f>
        <x:v>11.408335260087116</x:v>
      </x:c>
      <x:c r="M56" s="73" t="n">
        <x:f>L59</x:f>
        <x:v>12.723126878584937</x:v>
      </x:c>
      <x:c r="N56" s="73" t="n">
        <x:f>M59</x:f>
        <x:v>14.005048706620313</x:v>
      </x:c>
      <x:c r="O56" s="73" t="n">
        <x:f>N59</x:f>
        <x:v>15.254922488954804</x:v>
      </x:c>
      <x:c r="P56" s="73" t="n">
        <x:f>O59</x:f>
        <x:v>16.473549426730937</x:v>
      </x:c>
      <x:c r="Q56" s="73" t="n">
        <x:f>P59</x:f>
        <x:v>17.661710691062666</x:v>
      </x:c>
      <x:c r="R56" s="73" t="n">
        <x:f>Q59</x:f>
        <x:v>18.8201679237861</x:v>
      </x:c>
      <x:c r="S56" s="73" t="n">
        <x:f>R59</x:f>
        <x:v>19.94966372569145</x:v>
      </x:c>
      <x:c r="T56" s="73" t="n">
        <x:f>S59</x:f>
        <x:v>21.050922132549168</x:v>
      </x:c>
      <x:c r="U56" s="73" t="n">
        <x:f>T59</x:f>
        <x:v>22.12464907923544</x:v>
      </x:c>
      <x:c r="V56" s="73" t="n">
        <x:f>U59</x:f>
        <x:v>23.171532852254554</x:v>
      </x:c>
      <x:c r="W56" s="73" t="n">
        <x:f>V59</x:f>
        <x:v>24.19224453094819</x:v>
      </x:c>
      <x:c r="X56" s="73" t="n">
        <x:f>W59</x:f>
        <x:v>25.18743841767449</x:v>
      </x:c>
      <x:c r="Y56" s="73" t="n">
        <x:f>X59</x:f>
        <x:v>26.15775245723263</x:v>
      </x:c>
      <x:c r="Z56" s="73" t="n">
        <x:f>Y59</x:f>
        <x:v>27.103808645801813</x:v>
      </x:c>
      <x:c r="AA56" s="73" t="n">
        <x:f>Z59</x:f>
        <x:v>28.026213429656767</x:v>
      </x:c>
      <x:c r="AB56" s="73" t="n">
        <x:f>AA59</x:f>
        <x:v>28.92555809391535</x:v>
      </x:c>
      <x:c r="AC56" s="73" t="n">
        <x:f>AB59</x:f>
        <x:v>29.802419141567466</x:v>
      </x:c>
      <x:c r="AD56" s="73" t="n">
        <x:f>AC59</x:f>
        <x:v>30.65735866302828</x:v>
      </x:c>
      <x:c r="AE56" s="73" t="n">
        <x:f>AD59</x:f>
        <x:v>31.49092469645257</x:v>
      </x:c>
      <x:c r="AF56" s="73" t="n">
        <x:f>AE59</x:f>
        <x:v>32.30365157904125</x:v>
      </x:c>
      <x:c r="AG56" s="73" t="n">
        <x:f>AF59</x:f>
        <x:v>33.09606028956522</x:v>
      </x:c>
      <x:c r="AH56" s="73" t="n">
        <x:f>AG59</x:f>
        <x:v>33.868658782326094</x:v>
      </x:c>
      <x:c r="AI56" s="73" t="n">
        <x:f>AH59</x:f>
        <x:v>34.62194231276794</x:v>
      </x:c>
      <x:c r="AJ56" s="73" t="n">
        <x:f>AI59</x:f>
        <x:v>35.35639375494875</x:v>
      </x:c>
      <x:c r="AK56" s="73" t="n">
        <x:f>AJ59</x:f>
        <x:v>36.07248391107503</x:v>
      </x:c>
      <x:c r="AL56" s="73" t="n">
        <x:f>AK59</x:f>
        <x:v>36.77067181329816</x:v>
      </x:c>
    </x:row>
    <x:row r="57">
      <x:c r="A57" s="14" t="str">
        <x:v>New Customers</x:v>
      </x:c>
      <x:c r="B57" s="14" t="str"/>
      <x:c r="C57" s="73" t="n">
        <x:f>IF(1&lt;='Assumptions'!$D$11,0,INDEX('Assumptions'!$C$20:$AL$20,1,1-'Assumptions'!$D$11)*INDEX('Assumptions'!$C$25:$AL$25,1,1-'Assumptions'!$D$11)*INDEX('Assumptions'!$C$30:$AL$30,1,1-'Assumptions'!$D$11))</x:f>
        <x:v>0</x:v>
      </x:c>
      <x:c r="D57" s="73" t="n">
        <x:f>IF(2&lt;='Assumptions'!$D$11,0,INDEX('Assumptions'!$C$20:$AL$20,1,2-'Assumptions'!$D$11)*INDEX('Assumptions'!$C$25:$AL$25,1,2-'Assumptions'!$D$11)*INDEX('Assumptions'!$C$30:$AL$30,1,2-'Assumptions'!$D$11))</x:f>
        <x:v>0</x:v>
      </x:c>
      <x:c r="E57" s="73" t="n">
        <x:f>IF(3&lt;='Assumptions'!$D$11,0,INDEX('Assumptions'!$C$20:$AL$20,1,3-'Assumptions'!$D$11)*INDEX('Assumptions'!$C$25:$AL$25,1,3-'Assumptions'!$D$11)*INDEX('Assumptions'!$C$30:$AL$30,1,3-'Assumptions'!$D$11))</x:f>
        <x:v>0</x:v>
      </x:c>
      <x:c r="F57" s="73" t="n">
        <x:f>IF(4&lt;='Assumptions'!$D$11,0,INDEX('Assumptions'!$C$20:$AL$20,1,4-'Assumptions'!$D$11)*INDEX('Assumptions'!$C$25:$AL$25,1,4-'Assumptions'!$D$11)*INDEX('Assumptions'!$C$30:$AL$30,1,4-'Assumptions'!$D$11))</x:f>
        <x:v>1.6</x:v>
      </x:c>
      <x:c r="G57" s="73" t="n">
        <x:f>IF(5&lt;='Assumptions'!$D$11,0,INDEX('Assumptions'!$C$20:$AL$20,1,5-'Assumptions'!$D$11)*INDEX('Assumptions'!$C$25:$AL$25,1,5-'Assumptions'!$D$11)*INDEX('Assumptions'!$C$30:$AL$30,1,5-'Assumptions'!$D$11))</x:f>
        <x:v>1.6</x:v>
      </x:c>
      <x:c r="H57" s="73" t="n">
        <x:f>IF(6&lt;='Assumptions'!$D$11,0,INDEX('Assumptions'!$C$20:$AL$20,1,6-'Assumptions'!$D$11)*INDEX('Assumptions'!$C$25:$AL$25,1,6-'Assumptions'!$D$11)*INDEX('Assumptions'!$C$30:$AL$30,1,6-'Assumptions'!$D$11))</x:f>
        <x:v>1.6</x:v>
      </x:c>
      <x:c r="I57" s="73" t="n">
        <x:f>IF(7&lt;='Assumptions'!$D$11,0,INDEX('Assumptions'!$C$20:$AL$20,1,7-'Assumptions'!$D$11)*INDEX('Assumptions'!$C$25:$AL$25,1,7-'Assumptions'!$D$11)*INDEX('Assumptions'!$C$30:$AL$30,1,7-'Assumptions'!$D$11))</x:f>
        <x:v>1.6</x:v>
      </x:c>
      <x:c r="J57" s="73" t="n">
        <x:f>IF(8&lt;='Assumptions'!$D$11,0,INDEX('Assumptions'!$C$20:$AL$20,1,8-'Assumptions'!$D$11)*INDEX('Assumptions'!$C$25:$AL$25,1,8-'Assumptions'!$D$11)*INDEX('Assumptions'!$C$30:$AL$30,1,8-'Assumptions'!$D$11))</x:f>
        <x:v>1.6</x:v>
      </x:c>
      <x:c r="K57" s="73" t="n">
        <x:f>IF(9&lt;='Assumptions'!$D$11,0,INDEX('Assumptions'!$C$20:$AL$20,1,9-'Assumptions'!$D$11)*INDEX('Assumptions'!$C$25:$AL$25,1,9-'Assumptions'!$D$11)*INDEX('Assumptions'!$C$30:$AL$30,1,9-'Assumptions'!$D$11))</x:f>
        <x:v>1.6</x:v>
      </x:c>
      <x:c r="L57" s="73" t="n">
        <x:f>IF(10&lt;='Assumptions'!$D$11,0,INDEX('Assumptions'!$C$20:$AL$20,1,10-'Assumptions'!$D$11)*INDEX('Assumptions'!$C$25:$AL$25,1,10-'Assumptions'!$D$11)*INDEX('Assumptions'!$C$30:$AL$30,1,10-'Assumptions'!$D$11))</x:f>
        <x:v>1.6</x:v>
      </x:c>
      <x:c r="M57" s="73" t="n">
        <x:f>IF(11&lt;='Assumptions'!$D$11,0,INDEX('Assumptions'!$C$20:$AL$20,1,11-'Assumptions'!$D$11)*INDEX('Assumptions'!$C$25:$AL$25,1,11-'Assumptions'!$D$11)*INDEX('Assumptions'!$C$30:$AL$30,1,11-'Assumptions'!$D$11))</x:f>
        <x:v>1.6</x:v>
      </x:c>
      <x:c r="N57" s="73" t="n">
        <x:f>IF(12&lt;='Assumptions'!$D$11,0,INDEX('Assumptions'!$C$20:$AL$20,1,12-'Assumptions'!$D$11)*INDEX('Assumptions'!$C$25:$AL$25,1,12-'Assumptions'!$D$11)*INDEX('Assumptions'!$C$30:$AL$30,1,12-'Assumptions'!$D$11))</x:f>
        <x:v>1.6</x:v>
      </x:c>
      <x:c r="O57" s="73" t="n">
        <x:f>IF(13&lt;='Assumptions'!$D$11,0,INDEX('Assumptions'!$C$20:$AL$20,1,13-'Assumptions'!$D$11)*INDEX('Assumptions'!$C$25:$AL$25,1,13-'Assumptions'!$D$11)*INDEX('Assumptions'!$C$30:$AL$30,1,13-'Assumptions'!$D$11))</x:f>
        <x:v>1.6</x:v>
      </x:c>
      <x:c r="P57" s="73" t="n">
        <x:f>IF(14&lt;='Assumptions'!$D$11,0,INDEX('Assumptions'!$C$20:$AL$20,1,14-'Assumptions'!$D$11)*INDEX('Assumptions'!$C$25:$AL$25,1,14-'Assumptions'!$D$11)*INDEX('Assumptions'!$C$30:$AL$30,1,14-'Assumptions'!$D$11))</x:f>
        <x:v>1.6</x:v>
      </x:c>
      <x:c r="Q57" s="73" t="n">
        <x:f>IF(15&lt;='Assumptions'!$D$11,0,INDEX('Assumptions'!$C$20:$AL$20,1,15-'Assumptions'!$D$11)*INDEX('Assumptions'!$C$25:$AL$25,1,15-'Assumptions'!$D$11)*INDEX('Assumptions'!$C$30:$AL$30,1,15-'Assumptions'!$D$11))</x:f>
        <x:v>1.6</x:v>
      </x:c>
      <x:c r="R57" s="73" t="n">
        <x:f>IF(16&lt;='Assumptions'!$D$11,0,INDEX('Assumptions'!$C$20:$AL$20,1,16-'Assumptions'!$D$11)*INDEX('Assumptions'!$C$25:$AL$25,1,16-'Assumptions'!$D$11)*INDEX('Assumptions'!$C$30:$AL$30,1,16-'Assumptions'!$D$11))</x:f>
        <x:v>1.6</x:v>
      </x:c>
      <x:c r="S57" s="73" t="n">
        <x:f>IF(17&lt;='Assumptions'!$D$11,0,INDEX('Assumptions'!$C$20:$AL$20,1,17-'Assumptions'!$D$11)*INDEX('Assumptions'!$C$25:$AL$25,1,17-'Assumptions'!$D$11)*INDEX('Assumptions'!$C$30:$AL$30,1,17-'Assumptions'!$D$11))</x:f>
        <x:v>1.6</x:v>
      </x:c>
      <x:c r="T57" s="73" t="n">
        <x:f>IF(18&lt;='Assumptions'!$D$11,0,INDEX('Assumptions'!$C$20:$AL$20,1,18-'Assumptions'!$D$11)*INDEX('Assumptions'!$C$25:$AL$25,1,18-'Assumptions'!$D$11)*INDEX('Assumptions'!$C$30:$AL$30,1,18-'Assumptions'!$D$11))</x:f>
        <x:v>1.6</x:v>
      </x:c>
      <x:c r="U57" s="73" t="n">
        <x:f>IF(19&lt;='Assumptions'!$D$11,0,INDEX('Assumptions'!$C$20:$AL$20,1,19-'Assumptions'!$D$11)*INDEX('Assumptions'!$C$25:$AL$25,1,19-'Assumptions'!$D$11)*INDEX('Assumptions'!$C$30:$AL$30,1,19-'Assumptions'!$D$11))</x:f>
        <x:v>1.6</x:v>
      </x:c>
      <x:c r="V57" s="73" t="n">
        <x:f>IF(20&lt;='Assumptions'!$D$11,0,INDEX('Assumptions'!$C$20:$AL$20,1,20-'Assumptions'!$D$11)*INDEX('Assumptions'!$C$25:$AL$25,1,20-'Assumptions'!$D$11)*INDEX('Assumptions'!$C$30:$AL$30,1,20-'Assumptions'!$D$11))</x:f>
        <x:v>1.6</x:v>
      </x:c>
      <x:c r="W57" s="73" t="n">
        <x:f>IF(21&lt;='Assumptions'!$D$11,0,INDEX('Assumptions'!$C$20:$AL$20,1,21-'Assumptions'!$D$11)*INDEX('Assumptions'!$C$25:$AL$25,1,21-'Assumptions'!$D$11)*INDEX('Assumptions'!$C$30:$AL$30,1,21-'Assumptions'!$D$11))</x:f>
        <x:v>1.6</x:v>
      </x:c>
      <x:c r="X57" s="73" t="n">
        <x:f>IF(22&lt;='Assumptions'!$D$11,0,INDEX('Assumptions'!$C$20:$AL$20,1,22-'Assumptions'!$D$11)*INDEX('Assumptions'!$C$25:$AL$25,1,22-'Assumptions'!$D$11)*INDEX('Assumptions'!$C$30:$AL$30,1,22-'Assumptions'!$D$11))</x:f>
        <x:v>1.6</x:v>
      </x:c>
      <x:c r="Y57" s="73" t="n">
        <x:f>IF(23&lt;='Assumptions'!$D$11,0,INDEX('Assumptions'!$C$20:$AL$20,1,23-'Assumptions'!$D$11)*INDEX('Assumptions'!$C$25:$AL$25,1,23-'Assumptions'!$D$11)*INDEX('Assumptions'!$C$30:$AL$30,1,23-'Assumptions'!$D$11))</x:f>
        <x:v>1.6</x:v>
      </x:c>
      <x:c r="Z57" s="73" t="n">
        <x:f>IF(24&lt;='Assumptions'!$D$11,0,INDEX('Assumptions'!$C$20:$AL$20,1,24-'Assumptions'!$D$11)*INDEX('Assumptions'!$C$25:$AL$25,1,24-'Assumptions'!$D$11)*INDEX('Assumptions'!$C$30:$AL$30,1,24-'Assumptions'!$D$11))</x:f>
        <x:v>1.6</x:v>
      </x:c>
      <x:c r="AA57" s="73" t="n">
        <x:f>IF(25&lt;='Assumptions'!$D$11,0,INDEX('Assumptions'!$C$20:$AL$20,1,25-'Assumptions'!$D$11)*INDEX('Assumptions'!$C$25:$AL$25,1,25-'Assumptions'!$D$11)*INDEX('Assumptions'!$C$30:$AL$30,1,25-'Assumptions'!$D$11))</x:f>
        <x:v>1.6</x:v>
      </x:c>
      <x:c r="AB57" s="73" t="n">
        <x:f>IF(26&lt;='Assumptions'!$D$11,0,INDEX('Assumptions'!$C$20:$AL$20,1,26-'Assumptions'!$D$11)*INDEX('Assumptions'!$C$25:$AL$25,1,26-'Assumptions'!$D$11)*INDEX('Assumptions'!$C$30:$AL$30,1,26-'Assumptions'!$D$11))</x:f>
        <x:v>1.6</x:v>
      </x:c>
      <x:c r="AC57" s="73" t="n">
        <x:f>IF(27&lt;='Assumptions'!$D$11,0,INDEX('Assumptions'!$C$20:$AL$20,1,27-'Assumptions'!$D$11)*INDEX('Assumptions'!$C$25:$AL$25,1,27-'Assumptions'!$D$11)*INDEX('Assumptions'!$C$30:$AL$30,1,27-'Assumptions'!$D$11))</x:f>
        <x:v>1.6</x:v>
      </x:c>
      <x:c r="AD57" s="73" t="n">
        <x:f>IF(28&lt;='Assumptions'!$D$11,0,INDEX('Assumptions'!$C$20:$AL$20,1,28-'Assumptions'!$D$11)*INDEX('Assumptions'!$C$25:$AL$25,1,28-'Assumptions'!$D$11)*INDEX('Assumptions'!$C$30:$AL$30,1,28-'Assumptions'!$D$11))</x:f>
        <x:v>1.6</x:v>
      </x:c>
      <x:c r="AE57" s="73" t="n">
        <x:f>IF(29&lt;='Assumptions'!$D$11,0,INDEX('Assumptions'!$C$20:$AL$20,1,29-'Assumptions'!$D$11)*INDEX('Assumptions'!$C$25:$AL$25,1,29-'Assumptions'!$D$11)*INDEX('Assumptions'!$C$30:$AL$30,1,29-'Assumptions'!$D$11))</x:f>
        <x:v>1.6</x:v>
      </x:c>
      <x:c r="AF57" s="73" t="n">
        <x:f>IF(30&lt;='Assumptions'!$D$11,0,INDEX('Assumptions'!$C$20:$AL$20,1,30-'Assumptions'!$D$11)*INDEX('Assumptions'!$C$25:$AL$25,1,30-'Assumptions'!$D$11)*INDEX('Assumptions'!$C$30:$AL$30,1,30-'Assumptions'!$D$11))</x:f>
        <x:v>1.6</x:v>
      </x:c>
      <x:c r="AG57" s="73" t="n">
        <x:f>IF(31&lt;='Assumptions'!$D$11,0,INDEX('Assumptions'!$C$20:$AL$20,1,31-'Assumptions'!$D$11)*INDEX('Assumptions'!$C$25:$AL$25,1,31-'Assumptions'!$D$11)*INDEX('Assumptions'!$C$30:$AL$30,1,31-'Assumptions'!$D$11))</x:f>
        <x:v>1.6</x:v>
      </x:c>
      <x:c r="AH57" s="73" t="n">
        <x:f>IF(32&lt;='Assumptions'!$D$11,0,INDEX('Assumptions'!$C$20:$AL$20,1,32-'Assumptions'!$D$11)*INDEX('Assumptions'!$C$25:$AL$25,1,32-'Assumptions'!$D$11)*INDEX('Assumptions'!$C$30:$AL$30,1,32-'Assumptions'!$D$11))</x:f>
        <x:v>1.6</x:v>
      </x:c>
      <x:c r="AI57" s="73" t="n">
        <x:f>IF(33&lt;='Assumptions'!$D$11,0,INDEX('Assumptions'!$C$20:$AL$20,1,33-'Assumptions'!$D$11)*INDEX('Assumptions'!$C$25:$AL$25,1,33-'Assumptions'!$D$11)*INDEX('Assumptions'!$C$30:$AL$30,1,33-'Assumptions'!$D$11))</x:f>
        <x:v>1.6</x:v>
      </x:c>
      <x:c r="AJ57" s="73" t="n">
        <x:f>IF(34&lt;='Assumptions'!$D$11,0,INDEX('Assumptions'!$C$20:$AL$20,1,34-'Assumptions'!$D$11)*INDEX('Assumptions'!$C$25:$AL$25,1,34-'Assumptions'!$D$11)*INDEX('Assumptions'!$C$30:$AL$30,1,34-'Assumptions'!$D$11))</x:f>
        <x:v>1.6</x:v>
      </x:c>
      <x:c r="AK57" s="73" t="n">
        <x:f>IF(35&lt;='Assumptions'!$D$11,0,INDEX('Assumptions'!$C$20:$AL$20,1,35-'Assumptions'!$D$11)*INDEX('Assumptions'!$C$25:$AL$25,1,35-'Assumptions'!$D$11)*INDEX('Assumptions'!$C$30:$AL$30,1,35-'Assumptions'!$D$11))</x:f>
        <x:v>1.6</x:v>
      </x:c>
      <x:c r="AL57" s="73" t="n">
        <x:f>IF(36&lt;='Assumptions'!$D$11,0,INDEX('Assumptions'!$C$20:$AL$20,1,36-'Assumptions'!$D$11)*INDEX('Assumptions'!$C$25:$AL$25,1,36-'Assumptions'!$D$11)*INDEX('Assumptions'!$C$30:$AL$30,1,36-'Assumptions'!$D$11))</x:f>
        <x:v>1.6</x:v>
      </x:c>
    </x:row>
    <x:row r="58">
      <x:c r="A58" s="14" t="str">
        <x:v>Churned Customers</x:v>
      </x:c>
      <x:c r="B58" s="14" t="str"/>
      <x:c r="C58" s="73" t="n">
        <x:f>C56*'Assumptions'!C35</x:f>
        <x:v>0.07500000000000001</x:v>
      </x:c>
      <x:c r="D58" s="73" t="n">
        <x:f>D56*'Assumptions'!D35</x:f>
        <x:v>0.073125</x:v>
      </x:c>
      <x:c r="E58" s="73" t="n">
        <x:f>E56*'Assumptions'!E35</x:f>
        <x:v>0.071296875</x:v>
      </x:c>
      <x:c r="F58" s="73" t="n">
        <x:f>F56*'Assumptions'!F35</x:f>
        <x:v>0.069514453125</x:v>
      </x:c>
      <x:c r="G58" s="73" t="n">
        <x:f>G56*'Assumptions'!G35</x:f>
        <x:v>0.107776591796875</x:v>
      </x:c>
      <x:c r="H58" s="73" t="n">
        <x:f>H56*'Assumptions'!H35</x:f>
        <x:v>0.14508217700195314</x:v>
      </x:c>
      <x:c r="I58" s="73" t="n">
        <x:f>I56*'Assumptions'!I35</x:f>
        <x:v>0.18145512257690433</x:v>
      </x:c>
      <x:c r="J58" s="73" t="n">
        <x:f>J56*'Assumptions'!J35</x:f>
        <x:v>0.21691874451248172</x:v>
      </x:c>
      <x:c r="K58" s="73" t="n">
        <x:f>K56*'Assumptions'!K35</x:f>
        <x:v>0.25149577589966965</x:v>
      </x:c>
      <x:c r="L58" s="73" t="n">
        <x:f>L56*'Assumptions'!L35</x:f>
        <x:v>0.2852083815021779</x:v>
      </x:c>
      <x:c r="M58" s="73" t="n">
        <x:f>M56*'Assumptions'!M35</x:f>
        <x:v>0.31807817196462346</x:v>
      </x:c>
      <x:c r="N58" s="73" t="n">
        <x:f>N56*'Assumptions'!N35</x:f>
        <x:v>0.35012621766550783</x:v>
      </x:c>
      <x:c r="O58" s="73" t="n">
        <x:f>O56*'Assumptions'!O35</x:f>
        <x:v>0.38137306222387013</x:v>
      </x:c>
      <x:c r="P58" s="73" t="n">
        <x:f>P56*'Assumptions'!P35</x:f>
        <x:v>0.41183873566827345</x:v>
      </x:c>
      <x:c r="Q58" s="73" t="n">
        <x:f>Q56*'Assumptions'!Q35</x:f>
        <x:v>0.44154276727656666</x:v>
      </x:c>
      <x:c r="R58" s="73" t="n">
        <x:f>R56*'Assumptions'!R35</x:f>
        <x:v>0.47050419809465255</x:v>
      </x:c>
      <x:c r="S58" s="73" t="n">
        <x:f>S56*'Assumptions'!S35</x:f>
        <x:v>0.4987415931422863</x:v>
      </x:c>
      <x:c r="T58" s="73" t="n">
        <x:f>T56*'Assumptions'!T35</x:f>
        <x:v>0.5262730533137292</x:v>
      </x:c>
      <x:c r="U58" s="73" t="n">
        <x:f>U56*'Assumptions'!U35</x:f>
        <x:v>0.553116226980886</x:v>
      </x:c>
      <x:c r="V58" s="73" t="n">
        <x:f>V56*'Assumptions'!V35</x:f>
        <x:v>0.5792883213063639</x:v>
      </x:c>
      <x:c r="W58" s="73" t="n">
        <x:f>W56*'Assumptions'!W35</x:f>
        <x:v>0.6048061132737048</x:v>
      </x:c>
      <x:c r="X58" s="73" t="n">
        <x:f>X56*'Assumptions'!X35</x:f>
        <x:v>0.6296859604418623</x:v>
      </x:c>
      <x:c r="Y58" s="73" t="n">
        <x:f>Y56*'Assumptions'!Y35</x:f>
        <x:v>0.6539438114308158</x:v>
      </x:c>
      <x:c r="Z58" s="73" t="n">
        <x:f>Z56*'Assumptions'!Z35</x:f>
        <x:v>0.6775952161450454</x:v>
      </x:c>
      <x:c r="AA58" s="73" t="n">
        <x:f>AA56*'Assumptions'!AA35</x:f>
        <x:v>0.7006553357414192</x:v>
      </x:c>
      <x:c r="AB58" s="73" t="n">
        <x:f>AB56*'Assumptions'!AB35</x:f>
        <x:v>0.7231389523478837</x:v>
      </x:c>
      <x:c r="AC58" s="73" t="n">
        <x:f>AC56*'Assumptions'!AC35</x:f>
        <x:v>0.7450604785391867</x:v>
      </x:c>
      <x:c r="AD58" s="73" t="n">
        <x:f>AD56*'Assumptions'!AD35</x:f>
        <x:v>0.7664339665757071</x:v>
      </x:c>
      <x:c r="AE58" s="73" t="n">
        <x:f>AE56*'Assumptions'!AE35</x:f>
        <x:v>0.7872731174113143</x:v>
      </x:c>
      <x:c r="AF58" s="73" t="n">
        <x:f>AF56*'Assumptions'!AF35</x:f>
        <x:v>0.8075912894760313</x:v>
      </x:c>
      <x:c r="AG58" s="73" t="n">
        <x:f>AG56*'Assumptions'!AG35</x:f>
        <x:v>0.8274015072391306</x:v>
      </x:c>
      <x:c r="AH58" s="73" t="n">
        <x:f>AH56*'Assumptions'!AH35</x:f>
        <x:v>0.8467164695581524</x:v>
      </x:c>
      <x:c r="AI58" s="73" t="n">
        <x:f>AI56*'Assumptions'!AI35</x:f>
        <x:v>0.8655485578191986</x:v>
      </x:c>
      <x:c r="AJ58" s="73" t="n">
        <x:f>AJ56*'Assumptions'!AJ35</x:f>
        <x:v>0.8839098438737187</x:v>
      </x:c>
      <x:c r="AK58" s="73" t="n">
        <x:f>AK56*'Assumptions'!AK35</x:f>
        <x:v>0.9018120977768759</x:v>
      </x:c>
      <x:c r="AL58" s="73" t="n">
        <x:f>AL56*'Assumptions'!AL35</x:f>
        <x:v>0.919266795332454</x:v>
      </x:c>
    </x:row>
    <x:row r="59">
      <x:c r="A59" s="14" t="str">
        <x:v>Ending Customers</x:v>
      </x:c>
      <x:c r="B59" s="14" t="str"/>
      <x:c r="C59" s="73" t="n">
        <x:f>MAX(0,C56+C57-C58)</x:f>
        <x:v>2.925</x:v>
      </x:c>
      <x:c r="D59" s="73" t="n">
        <x:f>MAX(0,D56+D57-D58)</x:f>
        <x:v>2.8518749999999997</x:v>
      </x:c>
      <x:c r="E59" s="73" t="n">
        <x:f>MAX(0,E56+E57-E58)</x:f>
        <x:v>2.780578125</x:v>
      </x:c>
      <x:c r="F59" s="73" t="n">
        <x:f>MAX(0,F56+F57-F58)</x:f>
        <x:v>4.311063671875</x:v>
      </x:c>
      <x:c r="G59" s="73" t="n">
        <x:f>MAX(0,G56+G57-G58)</x:f>
        <x:v>5.8032870800781255</x:v>
      </x:c>
      <x:c r="H59" s="73" t="n">
        <x:f>MAX(0,H56+H57-H58)</x:f>
        <x:v>7.258204903076173</x:v>
      </x:c>
      <x:c r="I59" s="73" t="n">
        <x:f>MAX(0,I56+I57-I58)</x:f>
        <x:v>8.676749780499268</x:v>
      </x:c>
      <x:c r="J59" s="73" t="n">
        <x:f>MAX(0,J56+J57-J58)</x:f>
        <x:v>10.059831035986786</x:v>
      </x:c>
      <x:c r="K59" s="73" t="n">
        <x:f>MAX(0,K56+K57-K58)</x:f>
        <x:v>11.408335260087116</x:v>
      </x:c>
      <x:c r="L59" s="73" t="n">
        <x:f>MAX(0,L56+L57-L58)</x:f>
        <x:v>12.723126878584937</x:v>
      </x:c>
      <x:c r="M59" s="73" t="n">
        <x:f>MAX(0,M56+M57-M58)</x:f>
        <x:v>14.005048706620313</x:v>
      </x:c>
      <x:c r="N59" s="73" t="n">
        <x:f>MAX(0,N56+N57-N58)</x:f>
        <x:v>15.254922488954804</x:v>
      </x:c>
      <x:c r="O59" s="73" t="n">
        <x:f>MAX(0,O56+O57-O58)</x:f>
        <x:v>16.473549426730937</x:v>
      </x:c>
      <x:c r="P59" s="73" t="n">
        <x:f>MAX(0,P56+P57-P58)</x:f>
        <x:v>17.661710691062666</x:v>
      </x:c>
      <x:c r="Q59" s="73" t="n">
        <x:f>MAX(0,Q56+Q57-Q58)</x:f>
        <x:v>18.8201679237861</x:v>
      </x:c>
      <x:c r="R59" s="73" t="n">
        <x:f>MAX(0,R56+R57-R58)</x:f>
        <x:v>19.94966372569145</x:v>
      </x:c>
      <x:c r="S59" s="73" t="n">
        <x:f>MAX(0,S56+S57-S58)</x:f>
        <x:v>21.050922132549168</x:v>
      </x:c>
      <x:c r="T59" s="73" t="n">
        <x:f>MAX(0,T56+T57-T58)</x:f>
        <x:v>22.12464907923544</x:v>
      </x:c>
      <x:c r="U59" s="73" t="n">
        <x:f>MAX(0,U56+U57-U58)</x:f>
        <x:v>23.171532852254554</x:v>
      </x:c>
      <x:c r="V59" s="73" t="n">
        <x:f>MAX(0,V56+V57-V58)</x:f>
        <x:v>24.19224453094819</x:v>
      </x:c>
      <x:c r="W59" s="73" t="n">
        <x:f>MAX(0,W56+W57-W58)</x:f>
        <x:v>25.18743841767449</x:v>
      </x:c>
      <x:c r="X59" s="73" t="n">
        <x:f>MAX(0,X56+X57-X58)</x:f>
        <x:v>26.15775245723263</x:v>
      </x:c>
      <x:c r="Y59" s="73" t="n">
        <x:f>MAX(0,Y56+Y57-Y58)</x:f>
        <x:v>27.103808645801813</x:v>
      </x:c>
      <x:c r="Z59" s="73" t="n">
        <x:f>MAX(0,Z56+Z57-Z58)</x:f>
        <x:v>28.026213429656767</x:v>
      </x:c>
      <x:c r="AA59" s="73" t="n">
        <x:f>MAX(0,AA56+AA57-AA58)</x:f>
        <x:v>28.92555809391535</x:v>
      </x:c>
      <x:c r="AB59" s="73" t="n">
        <x:f>MAX(0,AB56+AB57-AB58)</x:f>
        <x:v>29.802419141567466</x:v>
      </x:c>
      <x:c r="AC59" s="73" t="n">
        <x:f>MAX(0,AC56+AC57-AC58)</x:f>
        <x:v>30.65735866302828</x:v>
      </x:c>
      <x:c r="AD59" s="73" t="n">
        <x:f>MAX(0,AD56+AD57-AD58)</x:f>
        <x:v>31.49092469645257</x:v>
      </x:c>
      <x:c r="AE59" s="73" t="n">
        <x:f>MAX(0,AE56+AE57-AE58)</x:f>
        <x:v>32.30365157904125</x:v>
      </x:c>
      <x:c r="AF59" s="73" t="n">
        <x:f>MAX(0,AF56+AF57-AF58)</x:f>
        <x:v>33.09606028956522</x:v>
      </x:c>
      <x:c r="AG59" s="73" t="n">
        <x:f>MAX(0,AG56+AG57-AG58)</x:f>
        <x:v>33.868658782326094</x:v>
      </x:c>
      <x:c r="AH59" s="73" t="n">
        <x:f>MAX(0,AH56+AH57-AH58)</x:f>
        <x:v>34.62194231276794</x:v>
      </x:c>
      <x:c r="AI59" s="73" t="n">
        <x:f>MAX(0,AI56+AI57-AI58)</x:f>
        <x:v>35.35639375494875</x:v>
      </x:c>
      <x:c r="AJ59" s="73" t="n">
        <x:f>MAX(0,AJ56+AJ57-AJ58)</x:f>
        <x:v>36.07248391107503</x:v>
      </x:c>
      <x:c r="AK59" s="73" t="n">
        <x:f>MAX(0,AK56+AK57-AK58)</x:f>
        <x:v>36.77067181329816</x:v>
      </x:c>
      <x:c r="AL59" s="73" t="n">
        <x:f>MAX(0,AL56+AL57-AL58)</x:f>
        <x:v>37.451405017965705</x:v>
      </x:c>
    </x:row>
    <x:row r="60">
      <x:c r="A60" s="14" t="str">
        <x:v>Revenue</x:v>
      </x:c>
      <x:c r="B60" s="14" t="str"/>
      <x:c r="C60" s="76" t="n">
        <x:f>C59*('Assumptions'!C40+'Assumptions'!C45*'Assumptions'!C50+'Assumptions'!C55)</x:f>
        <x:v>24862500</x:v>
      </x:c>
      <x:c r="D60" s="76" t="n">
        <x:f>D59*('Assumptions'!D40+'Assumptions'!D45*'Assumptions'!D50+'Assumptions'!D55)</x:f>
        <x:v>24240937.499999996</x:v>
      </x:c>
      <x:c r="E60" s="76" t="n">
        <x:f>E59*('Assumptions'!E40+'Assumptions'!E45*'Assumptions'!E50+'Assumptions'!E55)</x:f>
        <x:v>23634914.0625</x:v>
      </x:c>
      <x:c r="F60" s="76" t="n">
        <x:f>F59*('Assumptions'!F40+'Assumptions'!F45*'Assumptions'!F50+'Assumptions'!F55)</x:f>
        <x:v>36644041.2109375</x:v>
      </x:c>
      <x:c r="G60" s="76" t="n">
        <x:f>G59*('Assumptions'!G40+'Assumptions'!G45*'Assumptions'!G50+'Assumptions'!G55)</x:f>
        <x:v>49327940.18066407</x:v>
      </x:c>
      <x:c r="H60" s="76" t="n">
        <x:f>H59*('Assumptions'!H40+'Assumptions'!H45*'Assumptions'!H50+'Assumptions'!H55)</x:f>
        <x:v>61694741.67614747</x:v>
      </x:c>
      <x:c r="I60" s="76" t="n">
        <x:f>I59*('Assumptions'!I40+'Assumptions'!I45*'Assumptions'!I50+'Assumptions'!I55)</x:f>
        <x:v>73752373.13424377</x:v>
      </x:c>
      <x:c r="J60" s="76" t="n">
        <x:f>J59*('Assumptions'!J40+'Assumptions'!J45*'Assumptions'!J50+'Assumptions'!J55)</x:f>
        <x:v>85508563.80588768</x:v>
      </x:c>
      <x:c r="K60" s="76" t="n">
        <x:f>K59*('Assumptions'!K40+'Assumptions'!K45*'Assumptions'!K50+'Assumptions'!K55)</x:f>
        <x:v>96970849.71074048</x:v>
      </x:c>
      <x:c r="L60" s="76" t="n">
        <x:f>L59*('Assumptions'!L40+'Assumptions'!L45*'Assumptions'!L50+'Assumptions'!L55)</x:f>
        <x:v>108146578.46797197</x:v>
      </x:c>
      <x:c r="M60" s="76" t="n">
        <x:f>M59*('Assumptions'!M40+'Assumptions'!M45*'Assumptions'!M50+'Assumptions'!M55)</x:f>
        <x:v>119042914.00627266</x:v>
      </x:c>
      <x:c r="N60" s="76" t="n">
        <x:f>N59*('Assumptions'!N40+'Assumptions'!N45*'Assumptions'!N50+'Assumptions'!N55)</x:f>
        <x:v>129666841.15611583</x:v>
      </x:c>
      <x:c r="O60" s="76" t="n">
        <x:f>O59*('Assumptions'!O40+'Assumptions'!O45*'Assumptions'!O50+'Assumptions'!O55)</x:f>
        <x:v>140025170.12721297</x:v>
      </x:c>
      <x:c r="P60" s="76" t="n">
        <x:f>P59*('Assumptions'!P40+'Assumptions'!P45*'Assumptions'!P50+'Assumptions'!P55)</x:f>
        <x:v>150124540.87403265</x:v>
      </x:c>
      <x:c r="Q60" s="76" t="n">
        <x:f>Q59*('Assumptions'!Q40+'Assumptions'!Q45*'Assumptions'!Q50+'Assumptions'!Q55)</x:f>
        <x:v>159971427.35218185</x:v>
      </x:c>
      <x:c r="R60" s="76" t="n">
        <x:f>R59*('Assumptions'!R40+'Assumptions'!R45*'Assumptions'!R50+'Assumptions'!R55)</x:f>
        <x:v>169572141.66837734</x:v>
      </x:c>
      <x:c r="S60" s="76" t="n">
        <x:f>S59*('Assumptions'!S40+'Assumptions'!S45*'Assumptions'!S50+'Assumptions'!S55)</x:f>
        <x:v>178932838.12666792</x:v>
      </x:c>
      <x:c r="T60" s="76" t="n">
        <x:f>T59*('Assumptions'!T40+'Assumptions'!T45*'Assumptions'!T50+'Assumptions'!T55)</x:f>
        <x:v>188059517.17350122</x:v>
      </x:c>
      <x:c r="U60" s="76" t="n">
        <x:f>U59*('Assumptions'!U40+'Assumptions'!U45*'Assumptions'!U50+'Assumptions'!U55)</x:f>
        <x:v>196958029.24416372</x:v>
      </x:c>
      <x:c r="V60" s="76" t="n">
        <x:f>V59*('Assumptions'!V40+'Assumptions'!V45*'Assumptions'!V50+'Assumptions'!V55)</x:f>
        <x:v>205634078.51305962</x:v>
      </x:c>
      <x:c r="W60" s="76" t="n">
        <x:f>W59*('Assumptions'!W40+'Assumptions'!W45*'Assumptions'!W50+'Assumptions'!W55)</x:f>
        <x:v>214093226.55023316</x:v>
      </x:c>
      <x:c r="X60" s="76" t="n">
        <x:f>X59*('Assumptions'!X40+'Assumptions'!X45*'Assumptions'!X50+'Assumptions'!X55)</x:f>
        <x:v>222340895.88647735</x:v>
      </x:c>
      <x:c r="Y60" s="76" t="n">
        <x:f>Y59*('Assumptions'!Y40+'Assumptions'!Y45*'Assumptions'!Y50+'Assumptions'!Y55)</x:f>
        <x:v>230382373.48931542</x:v>
      </x:c>
      <x:c r="Z60" s="76" t="n">
        <x:f>Z59*('Assumptions'!Z40+'Assumptions'!Z45*'Assumptions'!Z50+'Assumptions'!Z55)</x:f>
        <x:v>238222814.15208253</x:v>
      </x:c>
      <x:c r="AA60" s="76" t="n">
        <x:f>AA59*('Assumptions'!AA40+'Assumptions'!AA45*'Assumptions'!AA50+'Assumptions'!AA55)</x:f>
        <x:v>245867243.79828048</x:v>
      </x:c>
      <x:c r="AB60" s="76" t="n">
        <x:f>AB59*('Assumptions'!AB40+'Assumptions'!AB45*'Assumptions'!AB50+'Assumptions'!AB55)</x:f>
        <x:v>253320562.70332345</x:v>
      </x:c>
      <x:c r="AC60" s="76" t="n">
        <x:f>AC59*('Assumptions'!AC40+'Assumptions'!AC45*'Assumptions'!AC50+'Assumptions'!AC55)</x:f>
        <x:v>260587548.63574037</x:v>
      </x:c>
      <x:c r="AD60" s="76" t="n">
        <x:f>AD59*('Assumptions'!AD40+'Assumptions'!AD45*'Assumptions'!AD50+'Assumptions'!AD55)</x:f>
        <x:v>267672859.91984683</x:v>
      </x:c>
      <x:c r="AE60" s="76" t="n">
        <x:f>AE59*('Assumptions'!AE40+'Assumptions'!AE45*'Assumptions'!AE50+'Assumptions'!AE55)</x:f>
        <x:v>274581038.4218506</x:v>
      </x:c>
      <x:c r="AF60" s="76" t="n">
        <x:f>AF59*('Assumptions'!AF40+'Assumptions'!AF45*'Assumptions'!AF50+'Assumptions'!AF55)</x:f>
        <x:v>281316512.46130437</x:v>
      </x:c>
      <x:c r="AG60" s="76" t="n">
        <x:f>AG59*('Assumptions'!AG40+'Assumptions'!AG45*'Assumptions'!AG50+'Assumptions'!AG55)</x:f>
        <x:v>287883599.6497718</x:v>
      </x:c>
      <x:c r="AH60" s="76" t="n">
        <x:f>AH59*('Assumptions'!AH40+'Assumptions'!AH45*'Assumptions'!AH50+'Assumptions'!AH55)</x:f>
        <x:v>294286509.6585275</x:v>
      </x:c>
      <x:c r="AI60" s="76" t="n">
        <x:f>AI59*('Assumptions'!AI40+'Assumptions'!AI45*'Assumptions'!AI50+'Assumptions'!AI55)</x:f>
        <x:v>300529346.91706437</x:v>
      </x:c>
      <x:c r="AJ60" s="76" t="n">
        <x:f>AJ59*('Assumptions'!AJ40+'Assumptions'!AJ45*'Assumptions'!AJ50+'Assumptions'!AJ55)</x:f>
        <x:v>306616113.24413776</x:v>
      </x:c>
      <x:c r="AK60" s="76" t="n">
        <x:f>AK59*('Assumptions'!AK40+'Assumptions'!AK45*'Assumptions'!AK50+'Assumptions'!AK55)</x:f>
        <x:v>312550710.4130343</x:v>
      </x:c>
      <x:c r="AL60" s="76" t="n">
        <x:f>AL59*('Assumptions'!AL40+'Assumptions'!AL45*'Assumptions'!AL50+'Assumptions'!AL55)</x:f>
        <x:v>318336942.6527085</x:v>
      </x:c>
    </x:row>
    <x:row r="61">
      <x:c r="A61" s="14" t="str">
        <x:v>COGS</x:v>
      </x:c>
      <x:c r="B61" s="14" t="str"/>
      <x:c r="C61" s="76" t="n">
        <x:f>C59*'Assumptions'!C45*'Assumptions'!C60/1000000*'Assumptions'!$D$13*'Assumptions'!$D$12+C59*'Assumptions'!C45*'Assumptions'!C65/1000000*'Assumptions'!$D$14*'Assumptions'!$D$12+C59*'Assumptions'!C45*'Assumptions'!C70+C59*'Assumptions'!C45*'Assumptions'!C75+C60*'Assumptions'!$D$15</x:f>
        <x:v>3282271.2</x:v>
      </x:c>
      <x:c r="D61" s="76" t="n">
        <x:f>D59*'Assumptions'!D45*'Assumptions'!D60/1000000*'Assumptions'!$D$13*'Assumptions'!$D$12+D59*'Assumptions'!D45*'Assumptions'!D65/1000000*'Assumptions'!$D$14*'Assumptions'!$D$12+D59*'Assumptions'!D45*'Assumptions'!D70+D59*'Assumptions'!D45*'Assumptions'!D75+D60*'Assumptions'!$D$15</x:f>
        <x:v>3200214.4199999995</x:v>
      </x:c>
      <x:c r="E61" s="76" t="n">
        <x:f>E59*'Assumptions'!E45*'Assumptions'!E60/1000000*'Assumptions'!$D$13*'Assumptions'!$D$12+E59*'Assumptions'!E45*'Assumptions'!E65/1000000*'Assumptions'!$D$14*'Assumptions'!$D$12+E59*'Assumptions'!E45*'Assumptions'!E70+E59*'Assumptions'!E45*'Assumptions'!E75+E60*'Assumptions'!$D$15</x:f>
        <x:v>3120209.0595</x:v>
      </x:c>
      <x:c r="F61" s="76" t="n">
        <x:f>F59*'Assumptions'!F45*'Assumptions'!F60/1000000*'Assumptions'!$D$13*'Assumptions'!$D$12+F59*'Assumptions'!F45*'Assumptions'!F65/1000000*'Assumptions'!$D$14*'Assumptions'!$D$12+F59*'Assumptions'!F45*'Assumptions'!F70+F59*'Assumptions'!F45*'Assumptions'!F75+F60*'Assumptions'!$D$15</x:f>
        <x:v>4837634.2330125</x:v>
      </x:c>
      <x:c r="G61" s="76" t="n">
        <x:f>G59*'Assumptions'!G45*'Assumptions'!G60/1000000*'Assumptions'!$D$13*'Assumptions'!$D$12+G59*'Assumptions'!G45*'Assumptions'!G65/1000000*'Assumptions'!$D$14*'Assumptions'!$D$12+G59*'Assumptions'!G45*'Assumptions'!G70+G59*'Assumptions'!G45*'Assumptions'!G75+G60*'Assumptions'!$D$15</x:f>
        <x:v>6512123.777187188</x:v>
      </x:c>
      <x:c r="H61" s="76" t="n">
        <x:f>H59*'Assumptions'!H45*'Assumptions'!H60/1000000*'Assumptions'!$D$13*'Assumptions'!$D$12+H59*'Assumptions'!H45*'Assumptions'!H65/1000000*'Assumptions'!$D$14*'Assumptions'!$D$12+H59*'Assumptions'!H45*'Assumptions'!H70+H59*'Assumptions'!H45*'Assumptions'!H75+H60*'Assumptions'!$D$15</x:f>
        <x:v>8144751.08275751</x:v>
      </x:c>
      <x:c r="I61" s="76" t="n">
        <x:f>I59*'Assumptions'!I45*'Assumptions'!I60/1000000*'Assumptions'!$D$13*'Assumptions'!$D$12+I59*'Assumptions'!I45*'Assumptions'!I65/1000000*'Assumptions'!$D$14*'Assumptions'!$D$12+I59*'Assumptions'!I45*'Assumptions'!I70+I59*'Assumptions'!I45*'Assumptions'!I75+I60*'Assumptions'!$D$15</x:f>
        <x:v>9736562.70568857</x:v>
      </x:c>
      <x:c r="J61" s="76" t="n">
        <x:f>J59*'Assumptions'!J45*'Assumptions'!J60/1000000*'Assumptions'!$D$13*'Assumptions'!$D$12+J59*'Assumptions'!J45*'Assumptions'!J65/1000000*'Assumptions'!$D$14*'Assumptions'!$D$12+J59*'Assumptions'!J45*'Assumptions'!J70+J59*'Assumptions'!J45*'Assumptions'!J75+J60*'Assumptions'!$D$15</x:f>
        <x:v>11288579.038046356</x:v>
      </x:c>
      <x:c r="K61" s="76" t="n">
        <x:f>K59*'Assumptions'!K45*'Assumptions'!K60/1000000*'Assumptions'!$D$13*'Assumptions'!$D$12+K59*'Assumptions'!K45*'Assumptions'!K65/1000000*'Assumptions'!$D$14*'Assumptions'!$D$12+K59*'Assumptions'!K45*'Assumptions'!K70+K59*'Assumptions'!K45*'Assumptions'!K75+K60*'Assumptions'!$D$15</x:f>
        <x:v>12801794.962095197</x:v>
      </x:c>
      <x:c r="L61" s="76" t="n">
        <x:f>L59*'Assumptions'!L45*'Assumptions'!L60/1000000*'Assumptions'!$D$13*'Assumptions'!$D$12+L59*'Assumptions'!L45*'Assumptions'!L65/1000000*'Assumptions'!$D$14*'Assumptions'!$D$12+L59*'Assumptions'!L45*'Assumptions'!L70+L59*'Assumptions'!L45*'Assumptions'!L75+L60*'Assumptions'!$D$15</x:f>
        <x:v>14277180.488042817</x:v>
      </x:c>
      <x:c r="M61" s="76" t="n">
        <x:f>M59*'Assumptions'!M45*'Assumptions'!M60/1000000*'Assumptions'!$D$13*'Assumptions'!$D$12+M59*'Assumptions'!M45*'Assumptions'!M65/1000000*'Assumptions'!$D$14*'Assumptions'!$D$12+M59*'Assumptions'!M45*'Assumptions'!M70+M59*'Assumptions'!M45*'Assumptions'!M75+M60*'Assumptions'!$D$15</x:f>
        <x:v>15715681.375841744</x:v>
      </x:c>
      <x:c r="N61" s="76" t="n">
        <x:f>N59*'Assumptions'!N45*'Assumptions'!N60/1000000*'Assumptions'!$D$13*'Assumptions'!$D$12+N59*'Assumptions'!N45*'Assumptions'!N65/1000000*'Assumptions'!$D$14*'Assumptions'!$D$12+N59*'Assumptions'!N45*'Assumptions'!N70+N59*'Assumptions'!N45*'Assumptions'!N75+N60*'Assumptions'!$D$15</x:f>
        <x:v>17118219.741445698</x:v>
      </x:c>
      <x:c r="O61" s="76" t="n">
        <x:f>O59*'Assumptions'!O45*'Assumptions'!O60/1000000*'Assumptions'!$D$13*'Assumptions'!$D$12+O59*'Assumptions'!O45*'Assumptions'!O65/1000000*'Assumptions'!$D$14*'Assumptions'!$D$12+O59*'Assumptions'!O45*'Assumptions'!O70+O59*'Assumptions'!O45*'Assumptions'!O75+O60*'Assumptions'!$D$15</x:f>
        <x:v>18485694.647909563</x:v>
      </x:c>
      <x:c r="P61" s="76" t="n">
        <x:f>P59*'Assumptions'!P45*'Assumptions'!P60/1000000*'Assumptions'!$D$13*'Assumptions'!$D$12+P59*'Assumptions'!P45*'Assumptions'!P65/1000000*'Assumptions'!$D$14*'Assumptions'!$D$12+P59*'Assumptions'!P45*'Assumptions'!P70+P59*'Assumptions'!P45*'Assumptions'!P75+P60*'Assumptions'!$D$15</x:f>
        <x:v>19818982.681711826</x:v>
      </x:c>
      <x:c r="Q61" s="76" t="n">
        <x:f>Q59*'Assumptions'!Q45*'Assumptions'!Q60/1000000*'Assumptions'!$D$13*'Assumptions'!$D$12+Q59*'Assumptions'!Q45*'Assumptions'!Q65/1000000*'Assumptions'!$D$14*'Assumptions'!$D$12+Q59*'Assumptions'!Q45*'Assumptions'!Q70+Q59*'Assumptions'!Q45*'Assumptions'!Q75+Q60*'Assumptions'!$D$15</x:f>
        <x:v>21118938.51466903</x:v>
      </x:c>
      <x:c r="R61" s="76" t="n">
        <x:f>R59*'Assumptions'!R45*'Assumptions'!R60/1000000*'Assumptions'!$D$13*'Assumptions'!$D$12+R59*'Assumptions'!R45*'Assumptions'!R65/1000000*'Assumptions'!$D$14*'Assumptions'!$D$12+R59*'Assumptions'!R45*'Assumptions'!R70+R59*'Assumptions'!R45*'Assumptions'!R75+R60*'Assumptions'!$D$15</x:f>
        <x:v>22386395.451802306</x:v>
      </x:c>
      <x:c r="S61" s="76" t="n">
        <x:f>S59*'Assumptions'!S45*'Assumptions'!S60/1000000*'Assumptions'!$D$13*'Assumptions'!$D$12+S59*'Assumptions'!S45*'Assumptions'!S65/1000000*'Assumptions'!$D$14*'Assumptions'!$D$12+S59*'Assumptions'!S45*'Assumptions'!S70+S59*'Assumptions'!S45*'Assumptions'!S75+S60*'Assumptions'!$D$15</x:f>
        <x:v>23622165.965507254</x:v>
      </x:c>
      <x:c r="T61" s="76" t="n">
        <x:f>T59*'Assumptions'!T45*'Assumptions'!T60/1000000*'Assumptions'!$D$13*'Assumptions'!$D$12+T59*'Assumptions'!T45*'Assumptions'!T65/1000000*'Assumptions'!$D$14*'Assumptions'!$D$12+T59*'Assumptions'!T45*'Assumptions'!T70+T59*'Assumptions'!T45*'Assumptions'!T75+T60*'Assumptions'!$D$15</x:f>
        <x:v>24827042.216369573</x:v>
      </x:c>
      <x:c r="U61" s="76" t="n">
        <x:f>U59*'Assumptions'!U45*'Assumptions'!U60/1000000*'Assumptions'!$D$13*'Assumptions'!$D$12+U59*'Assumptions'!U45*'Assumptions'!U65/1000000*'Assumptions'!$D$14*'Assumptions'!$D$12+U59*'Assumptions'!U45*'Assumptions'!U70+U59*'Assumptions'!U45*'Assumptions'!U75+U60*'Assumptions'!$D$15</x:f>
        <x:v>26001796.560960338</x:v>
      </x:c>
      <x:c r="V61" s="76" t="n">
        <x:f>V59*'Assumptions'!V45*'Assumptions'!V60/1000000*'Assumptions'!$D$13*'Assumptions'!$D$12+V59*'Assumptions'!V45*'Assumptions'!V65/1000000*'Assumptions'!$D$14*'Assumptions'!$D$12+V59*'Assumptions'!V45*'Assumptions'!V70+V59*'Assumptions'!V45*'Assumptions'!V75+V60*'Assumptions'!$D$15</x:f>
        <x:v>27147182.046936322</x:v>
      </x:c>
      <x:c r="W61" s="76" t="n">
        <x:f>W59*'Assumptions'!W45*'Assumptions'!W60/1000000*'Assumptions'!$D$13*'Assumptions'!$D$12+W59*'Assumptions'!W45*'Assumptions'!W65/1000000*'Assumptions'!$D$14*'Assumptions'!$D$12+W59*'Assumptions'!W45*'Assumptions'!W70+W59*'Assumptions'!W45*'Assumptions'!W75+W60*'Assumptions'!$D$15</x:f>
        <x:v>28263932.895762924</x:v>
      </x:c>
      <x:c r="X61" s="76" t="n">
        <x:f>X59*'Assumptions'!X45*'Assumptions'!X60/1000000*'Assumptions'!$D$13*'Assumptions'!$D$12+X59*'Assumptions'!X45*'Assumptions'!X65/1000000*'Assumptions'!$D$14*'Assumptions'!$D$12+X59*'Assumptions'!X45*'Assumptions'!X70+X59*'Assumptions'!X45*'Assumptions'!X75+X60*'Assumptions'!$D$15</x:f>
        <x:v>29352764.973368853</x:v>
      </x:c>
      <x:c r="Y61" s="76" t="n">
        <x:f>Y59*'Assumptions'!Y45*'Assumptions'!Y60/1000000*'Assumptions'!$D$13*'Assumptions'!$D$12+Y59*'Assumptions'!Y45*'Assumptions'!Y65/1000000*'Assumptions'!$D$14*'Assumptions'!$D$12+Y59*'Assumptions'!Y45*'Assumptions'!Y70+Y59*'Assumptions'!Y45*'Assumptions'!Y75+Y60*'Assumptions'!$D$15</x:f>
        <x:v>30414376.24903463</x:v>
      </x:c>
      <x:c r="Z61" s="76" t="n">
        <x:f>Z59*'Assumptions'!Z45*'Assumptions'!Z60/1000000*'Assumptions'!$D$13*'Assumptions'!$D$12+Z59*'Assumptions'!Z45*'Assumptions'!Z65/1000000*'Assumptions'!$D$14*'Assumptions'!$D$12+Z59*'Assumptions'!Z45*'Assumptions'!Z70+Z59*'Assumptions'!Z45*'Assumptions'!Z75+Z60*'Assumptions'!$D$15</x:f>
        <x:v>31449447.242808767</x:v>
      </x:c>
      <x:c r="AA61" s="76" t="n">
        <x:f>AA59*'Assumptions'!AA45*'Assumptions'!AA60/1000000*'Assumptions'!$D$13*'Assumptions'!$D$12+AA59*'Assumptions'!AA45*'Assumptions'!AA65/1000000*'Assumptions'!$D$14*'Assumptions'!$D$12+AA59*'Assumptions'!AA45*'Assumptions'!AA70+AA59*'Assumptions'!AA45*'Assumptions'!AA75+AA60*'Assumptions'!$D$15</x:f>
        <x:v>32458641.46173855</x:v>
      </x:c>
      <x:c r="AB61" s="76" t="n">
        <x:f>AB59*'Assumptions'!AB45*'Assumptions'!AB60/1000000*'Assumptions'!$D$13*'Assumptions'!$D$12+AB59*'Assumptions'!AB45*'Assumptions'!AB65/1000000*'Assumptions'!$D$14*'Assumptions'!$D$12+AB59*'Assumptions'!AB45*'Assumptions'!AB70+AB59*'Assumptions'!AB45*'Assumptions'!AB75+AB60*'Assumptions'!$D$15</x:f>
        <x:v>33442605.82519508</x:v>
      </x:c>
      <x:c r="AC61" s="76" t="n">
        <x:f>AC59*'Assumptions'!AC45*'Assumptions'!AC60/1000000*'Assumptions'!$D$13*'Assumptions'!$D$12+AC59*'Assumptions'!AC45*'Assumptions'!AC65/1000000*'Assumptions'!$D$14*'Assumptions'!$D$12+AC59*'Assumptions'!AC45*'Assumptions'!AC70+AC59*'Assumptions'!AC45*'Assumptions'!AC75+AC60*'Assumptions'!$D$15</x:f>
        <x:v>34401971.07956521</x:v>
      </x:c>
      <x:c r="AD61" s="76" t="n">
        <x:f>AD59*'Assumptions'!AD45*'Assumptions'!AD60/1000000*'Assumptions'!$D$13*'Assumptions'!$D$12+AD59*'Assumptions'!AD45*'Assumptions'!AD65/1000000*'Assumptions'!$D$14*'Assumptions'!$D$12+AD59*'Assumptions'!AD45*'Assumptions'!AD70+AD59*'Assumptions'!AD45*'Assumptions'!AD75+AD60*'Assumptions'!$D$15</x:f>
        <x:v>35337352.20257607</x:v>
      </x:c>
      <x:c r="AE61" s="76" t="n">
        <x:f>AE59*'Assumptions'!AE45*'Assumptions'!AE60/1000000*'Assumptions'!$D$13*'Assumptions'!$D$12+AE59*'Assumptions'!AE45*'Assumptions'!AE65/1000000*'Assumptions'!$D$14*'Assumptions'!$D$12+AE59*'Assumptions'!AE45*'Assumptions'!AE70+AE59*'Assumptions'!AE45*'Assumptions'!AE75+AE60*'Assumptions'!$D$15</x:f>
        <x:v>36249348.79751167</x:v>
      </x:c>
      <x:c r="AF61" s="76" t="n">
        <x:f>AF59*'Assumptions'!AF45*'Assumptions'!AF60/1000000*'Assumptions'!$D$13*'Assumptions'!$D$12+AF59*'Assumptions'!AF45*'Assumptions'!AF65/1000000*'Assumptions'!$D$14*'Assumptions'!$D$12+AF59*'Assumptions'!AF45*'Assumptions'!AF70+AF59*'Assumptions'!AF45*'Assumptions'!AF75+AF60*'Assumptions'!$D$15</x:f>
        <x:v>37138545.47757388</x:v>
      </x:c>
      <x:c r="AG61" s="76" t="n">
        <x:f>AG59*'Assumptions'!AG45*'Assumptions'!AG60/1000000*'Assumptions'!$D$13*'Assumptions'!$D$12+AG59*'Assumptions'!AG45*'Assumptions'!AG65/1000000*'Assumptions'!$D$14*'Assumptions'!$D$12+AG59*'Assumptions'!AG45*'Assumptions'!AG70+AG59*'Assumptions'!AG45*'Assumptions'!AG75+AG60*'Assumptions'!$D$15</x:f>
        <x:v>38005512.24063453</x:v>
      </x:c>
      <x:c r="AH61" s="76" t="n">
        <x:f>AH59*'Assumptions'!AH45*'Assumptions'!AH60/1000000*'Assumptions'!$D$13*'Assumptions'!$D$12+AH59*'Assumptions'!AH45*'Assumptions'!AH65/1000000*'Assumptions'!$D$14*'Assumptions'!$D$12+AH59*'Assumptions'!AH45*'Assumptions'!AH70+AH59*'Assumptions'!AH45*'Assumptions'!AH75+AH60*'Assumptions'!$D$15</x:f>
        <x:v>38850804.83461867</x:v>
      </x:c>
      <x:c r="AI61" s="76" t="n">
        <x:f>AI59*'Assumptions'!AI45*'Assumptions'!AI60/1000000*'Assumptions'!$D$13*'Assumptions'!$D$12+AI59*'Assumptions'!AI45*'Assumptions'!AI65/1000000*'Assumptions'!$D$14*'Assumptions'!$D$12+AI59*'Assumptions'!AI45*'Assumptions'!AI70+AI59*'Assumptions'!AI45*'Assumptions'!AI75+AI60*'Assumptions'!$D$15</x:f>
        <x:v>39674965.113753214</x:v>
      </x:c>
      <x:c r="AJ61" s="76" t="n">
        <x:f>AJ59*'Assumptions'!AJ45*'Assumptions'!AJ60/1000000*'Assumptions'!$D$13*'Assumptions'!$D$12+AJ59*'Assumptions'!AJ45*'Assumptions'!AJ65/1000000*'Assumptions'!$D$14*'Assumptions'!$D$12+AJ59*'Assumptions'!AJ45*'Assumptions'!AJ70+AJ59*'Assumptions'!AJ45*'Assumptions'!AJ75+AJ60*'Assumptions'!$D$15</x:f>
        <x:v>40478521.385909386</x:v>
      </x:c>
      <x:c r="AK61" s="76" t="n">
        <x:f>AK59*'Assumptions'!AK45*'Assumptions'!AK60/1000000*'Assumptions'!$D$13*'Assumptions'!$D$12+AK59*'Assumptions'!AK45*'Assumptions'!AK65/1000000*'Assumptions'!$D$14*'Assumptions'!$D$12+AK59*'Assumptions'!AK45*'Assumptions'!AK70+AK59*'Assumptions'!AK45*'Assumptions'!AK75+AK60*'Assumptions'!$D$15</x:f>
        <x:v>41261988.751261644</x:v>
      </x:c>
      <x:c r="AL61" s="76" t="n">
        <x:f>AL59*'Assumptions'!AL45*'Assumptions'!AL60/1000000*'Assumptions'!$D$13*'Assumptions'!$D$12+AL59*'Assumptions'!AL45*'Assumptions'!AL65/1000000*'Assumptions'!$D$14*'Assumptions'!$D$12+AL59*'Assumptions'!AL45*'Assumptions'!AL70+AL59*'Assumptions'!AL45*'Assumptions'!AL75+AL60*'Assumptions'!$D$15</x:f>
        <x:v>42025869.4324801</x:v>
      </x:c>
    </x:row>
    <x:row r="62">
      <x:c r="A62" s="14" t="str">
        <x:v>Gross Profit</x:v>
      </x:c>
      <x:c r="B62" s="14" t="str"/>
      <x:c r="C62" s="76" t="n">
        <x:f>C60-C61</x:f>
        <x:v>21580228.8</x:v>
      </x:c>
      <x:c r="D62" s="76" t="n">
        <x:f>D60-D61</x:f>
        <x:v>21040723.08</x:v>
      </x:c>
      <x:c r="E62" s="76" t="n">
        <x:f>E60-E61</x:f>
        <x:v>20514705.003</x:v>
      </x:c>
      <x:c r="F62" s="76" t="n">
        <x:f>F60-F61</x:f>
        <x:v>31806406.977925</x:v>
      </x:c>
      <x:c r="G62" s="76" t="n">
        <x:f>G60-G61</x:f>
        <x:v>42815816.40347688</x:v>
      </x:c>
      <x:c r="H62" s="76" t="n">
        <x:f>H60-H61</x:f>
        <x:v>53549990.59338996</x:v>
      </x:c>
      <x:c r="I62" s="76" t="n">
        <x:f>I60-I61</x:f>
        <x:v>64015810.428555205</x:v>
      </x:c>
      <x:c r="J62" s="76" t="n">
        <x:f>J60-J61</x:f>
        <x:v>74219984.76784132</x:v>
      </x:c>
      <x:c r="K62" s="76" t="n">
        <x:f>K60-K61</x:f>
        <x:v>84169054.74864528</x:v>
      </x:c>
      <x:c r="L62" s="76" t="n">
        <x:f>L60-L61</x:f>
        <x:v>93869397.97992915</x:v>
      </x:c>
      <x:c r="M62" s="76" t="n">
        <x:f>M60-M61</x:f>
        <x:v>103327232.6304309</x:v>
      </x:c>
      <x:c r="N62" s="76" t="n">
        <x:f>N60-N61</x:f>
        <x:v>112548621.41467014</x:v>
      </x:c>
      <x:c r="O62" s="76" t="n">
        <x:f>O60-O61</x:f>
        <x:v>121539475.4793034</x:v>
      </x:c>
      <x:c r="P62" s="76" t="n">
        <x:f>P60-P61</x:f>
        <x:v>130305558.19232082</x:v>
      </x:c>
      <x:c r="Q62" s="76" t="n">
        <x:f>Q60-Q61</x:f>
        <x:v>138852488.83751282</x:v>
      </x:c>
      <x:c r="R62" s="76" t="n">
        <x:f>R60-R61</x:f>
        <x:v>147185746.21657503</x:v>
      </x:c>
      <x:c r="S62" s="76" t="n">
        <x:f>S60-S61</x:f>
        <x:v>155310672.16116065</x:v>
      </x:c>
      <x:c r="T62" s="76" t="n">
        <x:f>T60-T61</x:f>
        <x:v>163232474.95713165</x:v>
      </x:c>
      <x:c r="U62" s="76" t="n">
        <x:f>U60-U61</x:f>
        <x:v>170956232.6832034</x:v>
      </x:c>
      <x:c r="V62" s="76" t="n">
        <x:f>V60-V61</x:f>
        <x:v>178486896.46612328</x:v>
      </x:c>
      <x:c r="W62" s="76" t="n">
        <x:f>W60-W61</x:f>
        <x:v>185829293.65447024</x:v>
      </x:c>
      <x:c r="X62" s="76" t="n">
        <x:f>X60-X61</x:f>
        <x:v>192988130.9131085</x:v>
      </x:c>
      <x:c r="Y62" s="76" t="n">
        <x:f>Y60-Y61</x:f>
        <x:v>199967997.2402808</x:v>
      </x:c>
      <x:c r="Z62" s="76" t="n">
        <x:f>Z60-Z61</x:f>
        <x:v>206773366.90927377</x:v>
      </x:c>
      <x:c r="AA62" s="76" t="n">
        <x:f>AA60-AA61</x:f>
        <x:v>213408602.33654192</x:v>
      </x:c>
      <x:c r="AB62" s="76" t="n">
        <x:f>AB60-AB61</x:f>
        <x:v>219877956.87812838</x:v>
      </x:c>
      <x:c r="AC62" s="76" t="n">
        <x:f>AC60-AC61</x:f>
        <x:v>226185577.55617517</x:v>
      </x:c>
      <x:c r="AD62" s="76" t="n">
        <x:f>AD60-AD61</x:f>
        <x:v>232335507.71727076</x:v>
      </x:c>
      <x:c r="AE62" s="76" t="n">
        <x:f>AE60-AE61</x:f>
        <x:v>238331689.62433895</x:v>
      </x:c>
      <x:c r="AF62" s="76" t="n">
        <x:f>AF60-AF61</x:f>
        <x:v>244177966.9837305</x:v>
      </x:c>
      <x:c r="AG62" s="76" t="n">
        <x:f>AG60-AG61</x:f>
        <x:v>249878087.40913728</x:v>
      </x:c>
      <x:c r="AH62" s="76" t="n">
        <x:f>AH60-AH61</x:f>
        <x:v>255435704.8239088</x:v>
      </x:c>
      <x:c r="AI62" s="76" t="n">
        <x:f>AI60-AI61</x:f>
        <x:v>260854381.80331117</x:v>
      </x:c>
      <x:c r="AJ62" s="76" t="n">
        <x:f>AJ60-AJ61</x:f>
        <x:v>266137591.8582284</x:v>
      </x:c>
      <x:c r="AK62" s="76" t="n">
        <x:f>AK60-AK61</x:f>
        <x:v>271288721.66177267</x:v>
      </x:c>
      <x:c r="AL62" s="76" t="n">
        <x:f>AL60-AL61</x:f>
        <x:v>276311073.2202284</x:v>
      </x:c>
    </x:row>
    <x:row r="63">
      <x:c r="A63" s="14" t="str">
        <x:v>Gross Margin</x:v>
      </x:c>
      <x:c r="B63" s="14" t="str"/>
      <x:c r="C63" s="78" t="n">
        <x:f>IF(C60=0,0,C62/C60)</x:f>
        <x:v>0.8679830588235294</x:v>
      </x:c>
      <x:c r="D63" s="78" t="n">
        <x:f>IF(D60=0,0,D62/D60)</x:f>
        <x:v>0.8679830588235294</x:v>
      </x:c>
      <x:c r="E63" s="78" t="n">
        <x:f>IF(E60=0,0,E62/E60)</x:f>
        <x:v>0.8679830588235293</x:v>
      </x:c>
      <x:c r="F63" s="78" t="n">
        <x:f>IF(F60=0,0,F62/F60)</x:f>
        <x:v>0.8679830588235293</x:v>
      </x:c>
      <x:c r="G63" s="78" t="n">
        <x:f>IF(G60=0,0,G62/G60)</x:f>
        <x:v>0.8679830588235293</x:v>
      </x:c>
      <x:c r="H63" s="78" t="n">
        <x:f>IF(H60=0,0,H62/H60)</x:f>
        <x:v>0.8679830588235294</x:v>
      </x:c>
      <x:c r="I63" s="78" t="n">
        <x:f>IF(I60=0,0,I62/I60)</x:f>
        <x:v>0.8679830588235294</x:v>
      </x:c>
      <x:c r="J63" s="78" t="n">
        <x:f>IF(J60=0,0,J62/J60)</x:f>
        <x:v>0.8679830588235293</x:v>
      </x:c>
      <x:c r="K63" s="78" t="n">
        <x:f>IF(K60=0,0,K62/K60)</x:f>
        <x:v>0.8679830588235293</x:v>
      </x:c>
      <x:c r="L63" s="78" t="n">
        <x:f>IF(L60=0,0,L62/L60)</x:f>
        <x:v>0.8679830588235294</x:v>
      </x:c>
      <x:c r="M63" s="78" t="n">
        <x:f>IF(M60=0,0,M62/M60)</x:f>
        <x:v>0.8679830588235293</x:v>
      </x:c>
      <x:c r="N63" s="78" t="n">
        <x:f>IF(N60=0,0,N62/N60)</x:f>
        <x:v>0.8679830588235294</x:v>
      </x:c>
      <x:c r="O63" s="78" t="n">
        <x:f>IF(O60=0,0,O62/O60)</x:f>
        <x:v>0.8679830588235293</x:v>
      </x:c>
      <x:c r="P63" s="78" t="n">
        <x:f>IF(P60=0,0,P62/P60)</x:f>
        <x:v>0.8679830588235294</x:v>
      </x:c>
      <x:c r="Q63" s="78" t="n">
        <x:f>IF(Q60=0,0,Q62/Q60)</x:f>
        <x:v>0.8679830588235294</x:v>
      </x:c>
      <x:c r="R63" s="78" t="n">
        <x:f>IF(R60=0,0,R62/R60)</x:f>
        <x:v>0.8679830588235293</x:v>
      </x:c>
      <x:c r="S63" s="78" t="n">
        <x:f>IF(S60=0,0,S62/S60)</x:f>
        <x:v>0.8679830588235293</x:v>
      </x:c>
      <x:c r="T63" s="78" t="n">
        <x:f>IF(T60=0,0,T62/T60)</x:f>
        <x:v>0.8679830588235294</x:v>
      </x:c>
      <x:c r="U63" s="78" t="n">
        <x:f>IF(U60=0,0,U62/U60)</x:f>
        <x:v>0.8679830588235294</x:v>
      </x:c>
      <x:c r="V63" s="78" t="n">
        <x:f>IF(V60=0,0,V62/V60)</x:f>
        <x:v>0.8679830588235293</x:v>
      </x:c>
      <x:c r="W63" s="78" t="n">
        <x:f>IF(W60=0,0,W62/W60)</x:f>
        <x:v>0.8679830588235294</x:v>
      </x:c>
      <x:c r="X63" s="78" t="n">
        <x:f>IF(X60=0,0,X62/X60)</x:f>
        <x:v>0.8679830588235294</x:v>
      </x:c>
      <x:c r="Y63" s="78" t="n">
        <x:f>IF(Y60=0,0,Y62/Y60)</x:f>
        <x:v>0.8679830588235294</x:v>
      </x:c>
      <x:c r="Z63" s="78" t="n">
        <x:f>IF(Z60=0,0,Z62/Z60)</x:f>
        <x:v>0.8679830588235294</x:v>
      </x:c>
      <x:c r="AA63" s="78" t="n">
        <x:f>IF(AA60=0,0,AA62/AA60)</x:f>
        <x:v>0.8679830588235293</x:v>
      </x:c>
      <x:c r="AB63" s="78" t="n">
        <x:f>IF(AB60=0,0,AB62/AB60)</x:f>
        <x:v>0.8679830588235294</x:v>
      </x:c>
      <x:c r="AC63" s="78" t="n">
        <x:f>IF(AC60=0,0,AC62/AC60)</x:f>
        <x:v>0.8679830588235294</x:v>
      </x:c>
      <x:c r="AD63" s="78" t="n">
        <x:f>IF(AD60=0,0,AD62/AD60)</x:f>
        <x:v>0.8679830588235294</x:v>
      </x:c>
      <x:c r="AE63" s="78" t="n">
        <x:f>IF(AE60=0,0,AE62/AE60)</x:f>
        <x:v>0.8679830588235294</x:v>
      </x:c>
      <x:c r="AF63" s="78" t="n">
        <x:f>IF(AF60=0,0,AF62/AF60)</x:f>
        <x:v>0.8679830588235294</x:v>
      </x:c>
      <x:c r="AG63" s="78" t="n">
        <x:f>IF(AG60=0,0,AG62/AG60)</x:f>
        <x:v>0.8679830588235294</x:v>
      </x:c>
      <x:c r="AH63" s="78" t="n">
        <x:f>IF(AH60=0,0,AH62/AH60)</x:f>
        <x:v>0.8679830588235293</x:v>
      </x:c>
      <x:c r="AI63" s="78" t="n">
        <x:f>IF(AI60=0,0,AI62/AI60)</x:f>
        <x:v>0.8679830588235294</x:v>
      </x:c>
      <x:c r="AJ63" s="78" t="n">
        <x:f>IF(AJ60=0,0,AJ62/AJ60)</x:f>
        <x:v>0.8679830588235294</x:v>
      </x:c>
      <x:c r="AK63" s="78" t="n">
        <x:f>IF(AK60=0,0,AK62/AK60)</x:f>
        <x:v>0.8679830588235294</x:v>
      </x:c>
      <x:c r="AL63" s="78" t="n">
        <x:f>IF(AL60=0,0,AL62/AL60)</x:f>
        <x:v>0.8679830588235294</x:v>
      </x:c>
    </x:row>
    <x:row r="64">
      <x:c r="A64" s="14" t="str">
        <x:v>Fixed Opex</x:v>
      </x:c>
      <x:c r="B64" s="14" t="str"/>
      <x:c r="C64" s="74" t="n">
        <x:f>'Assumptions'!C80</x:f>
        <x:v>90000000</x:v>
      </x:c>
      <x:c r="D64" s="74" t="n">
        <x:f>'Assumptions'!D80</x:f>
        <x:v>90000000</x:v>
      </x:c>
      <x:c r="E64" s="74" t="n">
        <x:f>'Assumptions'!E80</x:f>
        <x:v>90000000</x:v>
      </x:c>
      <x:c r="F64" s="74" t="n">
        <x:f>'Assumptions'!F80</x:f>
        <x:v>90000000</x:v>
      </x:c>
      <x:c r="G64" s="74" t="n">
        <x:f>'Assumptions'!G80</x:f>
        <x:v>90000000</x:v>
      </x:c>
      <x:c r="H64" s="74" t="n">
        <x:f>'Assumptions'!H80</x:f>
        <x:v>90000000</x:v>
      </x:c>
      <x:c r="I64" s="74" t="n">
        <x:f>'Assumptions'!I80</x:f>
        <x:v>90000000</x:v>
      </x:c>
      <x:c r="J64" s="74" t="n">
        <x:f>'Assumptions'!J80</x:f>
        <x:v>90000000</x:v>
      </x:c>
      <x:c r="K64" s="74" t="n">
        <x:f>'Assumptions'!K80</x:f>
        <x:v>90000000</x:v>
      </x:c>
      <x:c r="L64" s="74" t="n">
        <x:f>'Assumptions'!L80</x:f>
        <x:v>90000000</x:v>
      </x:c>
      <x:c r="M64" s="74" t="n">
        <x:f>'Assumptions'!M80</x:f>
        <x:v>90000000</x:v>
      </x:c>
      <x:c r="N64" s="74" t="n">
        <x:f>'Assumptions'!N80</x:f>
        <x:v>90000000</x:v>
      </x:c>
      <x:c r="O64" s="74" t="n">
        <x:f>'Assumptions'!O80</x:f>
        <x:v>90000000</x:v>
      </x:c>
      <x:c r="P64" s="74" t="n">
        <x:f>'Assumptions'!P80</x:f>
        <x:v>90000000</x:v>
      </x:c>
      <x:c r="Q64" s="74" t="n">
        <x:f>'Assumptions'!Q80</x:f>
        <x:v>90000000</x:v>
      </x:c>
      <x:c r="R64" s="74" t="n">
        <x:f>'Assumptions'!R80</x:f>
        <x:v>90000000</x:v>
      </x:c>
      <x:c r="S64" s="74" t="n">
        <x:f>'Assumptions'!S80</x:f>
        <x:v>90000000</x:v>
      </x:c>
      <x:c r="T64" s="74" t="n">
        <x:f>'Assumptions'!T80</x:f>
        <x:v>90000000</x:v>
      </x:c>
      <x:c r="U64" s="74" t="n">
        <x:f>'Assumptions'!U80</x:f>
        <x:v>90000000</x:v>
      </x:c>
      <x:c r="V64" s="74" t="n">
        <x:f>'Assumptions'!V80</x:f>
        <x:v>90000000</x:v>
      </x:c>
      <x:c r="W64" s="74" t="n">
        <x:f>'Assumptions'!W80</x:f>
        <x:v>90000000</x:v>
      </x:c>
      <x:c r="X64" s="74" t="n">
        <x:f>'Assumptions'!X80</x:f>
        <x:v>90000000</x:v>
      </x:c>
      <x:c r="Y64" s="74" t="n">
        <x:f>'Assumptions'!Y80</x:f>
        <x:v>90000000</x:v>
      </x:c>
      <x:c r="Z64" s="74" t="n">
        <x:f>'Assumptions'!Z80</x:f>
        <x:v>90000000</x:v>
      </x:c>
      <x:c r="AA64" s="74" t="n">
        <x:f>'Assumptions'!AA80</x:f>
        <x:v>90000000</x:v>
      </x:c>
      <x:c r="AB64" s="74" t="n">
        <x:f>'Assumptions'!AB80</x:f>
        <x:v>90000000</x:v>
      </x:c>
      <x:c r="AC64" s="74" t="n">
        <x:f>'Assumptions'!AC80</x:f>
        <x:v>90000000</x:v>
      </x:c>
      <x:c r="AD64" s="74" t="n">
        <x:f>'Assumptions'!AD80</x:f>
        <x:v>90000000</x:v>
      </x:c>
      <x:c r="AE64" s="74" t="n">
        <x:f>'Assumptions'!AE80</x:f>
        <x:v>90000000</x:v>
      </x:c>
      <x:c r="AF64" s="74" t="n">
        <x:f>'Assumptions'!AF80</x:f>
        <x:v>90000000</x:v>
      </x:c>
      <x:c r="AG64" s="74" t="n">
        <x:f>'Assumptions'!AG80</x:f>
        <x:v>90000000</x:v>
      </x:c>
      <x:c r="AH64" s="74" t="n">
        <x:f>'Assumptions'!AH80</x:f>
        <x:v>90000000</x:v>
      </x:c>
      <x:c r="AI64" s="74" t="n">
        <x:f>'Assumptions'!AI80</x:f>
        <x:v>90000000</x:v>
      </x:c>
      <x:c r="AJ64" s="74" t="n">
        <x:f>'Assumptions'!AJ80</x:f>
        <x:v>90000000</x:v>
      </x:c>
      <x:c r="AK64" s="74" t="n">
        <x:f>'Assumptions'!AK80</x:f>
        <x:v>90000000</x:v>
      </x:c>
      <x:c r="AL64" s="74" t="n">
        <x:f>'Assumptions'!AL80</x:f>
        <x:v>90000000</x:v>
      </x:c>
    </x:row>
    <x:row r="65">
      <x:c r="A65" s="14" t="str">
        <x:v>Operating Profit / Loss</x:v>
      </x:c>
      <x:c r="B65" s="14" t="str"/>
      <x:c r="C65" s="74" t="n">
        <x:f>C62-C64</x:f>
        <x:v>-68419771.2</x:v>
      </x:c>
      <x:c r="D65" s="74" t="n">
        <x:f>D62-D64</x:f>
        <x:v>-68959276.92</x:v>
      </x:c>
      <x:c r="E65" s="74" t="n">
        <x:f>E62-E64</x:f>
        <x:v>-69485294.99700001</x:v>
      </x:c>
      <x:c r="F65" s="74" t="n">
        <x:f>F62-F64</x:f>
        <x:v>-58193593.022075</x:v>
      </x:c>
      <x:c r="G65" s="74" t="n">
        <x:f>G62-G64</x:f>
        <x:v>-47184183.59652312</x:v>
      </x:c>
      <x:c r="H65" s="74" t="n">
        <x:f>H62-H64</x:f>
        <x:v>-36450009.40661004</x:v>
      </x:c>
      <x:c r="I65" s="74" t="n">
        <x:f>I62-I64</x:f>
        <x:v>-25984189.571444795</x:v>
      </x:c>
      <x:c r="J65" s="74" t="n">
        <x:f>J62-J64</x:f>
        <x:v>-15780015.232158676</x:v>
      </x:c>
      <x:c r="K65" s="74" t="n">
        <x:f>K62-K64</x:f>
        <x:v>-5830945.251354724</x:v>
      </x:c>
      <x:c r="L65" s="74" t="n">
        <x:f>L62-L64</x:f>
        <x:v>3869397.979929149</x:v>
      </x:c>
      <x:c r="M65" s="74" t="n">
        <x:f>M62-M64</x:f>
        <x:v>13327232.630430907</x:v>
      </x:c>
      <x:c r="N65" s="74" t="n">
        <x:f>N62-N64</x:f>
        <x:v>22548621.41467014</x:v>
      </x:c>
      <x:c r="O65" s="74" t="n">
        <x:f>O62-O64</x:f>
        <x:v>31539475.479303405</x:v>
      </x:c>
      <x:c r="P65" s="74" t="n">
        <x:f>P62-P64</x:f>
        <x:v>40305558.19232082</x:v>
      </x:c>
      <x:c r="Q65" s="74" t="n">
        <x:f>Q62-Q64</x:f>
        <x:v>48852488.83751282</x:v>
      </x:c>
      <x:c r="R65" s="74" t="n">
        <x:f>R62-R64</x:f>
        <x:v>57185746.21657503</x:v>
      </x:c>
      <x:c r="S65" s="74" t="n">
        <x:f>S62-S64</x:f>
        <x:v>65310672.16116065</x:v>
      </x:c>
      <x:c r="T65" s="74" t="n">
        <x:f>T62-T64</x:f>
        <x:v>73232474.95713165</x:v>
      </x:c>
      <x:c r="U65" s="74" t="n">
        <x:f>U62-U64</x:f>
        <x:v>80956232.6832034</x:v>
      </x:c>
      <x:c r="V65" s="74" t="n">
        <x:f>V62-V64</x:f>
        <x:v>88486896.46612328</x:v>
      </x:c>
      <x:c r="W65" s="74" t="n">
        <x:f>W62-W64</x:f>
        <x:v>95829293.65447024</x:v>
      </x:c>
      <x:c r="X65" s="74" t="n">
        <x:f>X62-X64</x:f>
        <x:v>102988130.9131085</x:v>
      </x:c>
      <x:c r="Y65" s="74" t="n">
        <x:f>Y62-Y64</x:f>
        <x:v>109967997.2402808</x:v>
      </x:c>
      <x:c r="Z65" s="74" t="n">
        <x:f>Z62-Z64</x:f>
        <x:v>116773366.90927377</x:v>
      </x:c>
      <x:c r="AA65" s="74" t="n">
        <x:f>AA62-AA64</x:f>
        <x:v>123408602.33654192</x:v>
      </x:c>
      <x:c r="AB65" s="74" t="n">
        <x:f>AB62-AB64</x:f>
        <x:v>129877956.87812838</x:v>
      </x:c>
      <x:c r="AC65" s="74" t="n">
        <x:f>AC62-AC64</x:f>
        <x:v>136185577.55617517</x:v>
      </x:c>
      <x:c r="AD65" s="74" t="n">
        <x:f>AD62-AD64</x:f>
        <x:v>142335507.71727076</x:v>
      </x:c>
      <x:c r="AE65" s="74" t="n">
        <x:f>AE62-AE64</x:f>
        <x:v>148331689.62433895</x:v>
      </x:c>
      <x:c r="AF65" s="74" t="n">
        <x:f>AF62-AF64</x:f>
        <x:v>154177966.9837305</x:v>
      </x:c>
      <x:c r="AG65" s="74" t="n">
        <x:f>AG62-AG64</x:f>
        <x:v>159878087.40913728</x:v>
      </x:c>
      <x:c r="AH65" s="74" t="n">
        <x:f>AH62-AH64</x:f>
        <x:v>165435704.8239088</x:v>
      </x:c>
      <x:c r="AI65" s="74" t="n">
        <x:f>AI62-AI64</x:f>
        <x:v>170854381.80331117</x:v>
      </x:c>
      <x:c r="AJ65" s="74" t="n">
        <x:f>AJ62-AJ64</x:f>
        <x:v>176137591.8582284</x:v>
      </x:c>
      <x:c r="AK65" s="74" t="n">
        <x:f>AK62-AK64</x:f>
        <x:v>181288721.66177267</x:v>
      </x:c>
      <x:c r="AL65" s="74" t="n">
        <x:f>AL62-AL64</x:f>
        <x:v>186311073.22022837</x:v>
      </x:c>
    </x:row>
    <x:row r="66">
      <x:c r="A66" s="14" t="str">
        <x:v>Funding</x:v>
      </x:c>
      <x:c r="B66" s="14" t="str"/>
      <x:c r="C66" s="74" t="n">
        <x:f>IF(1='Assumptions'!$D$10,'Assumptions'!$D$9,0)</x:f>
        <x:v>1500000000</x:v>
      </x:c>
      <x:c r="D66" s="74" t="n">
        <x:f>IF(2='Assumptions'!$D$10,'Assumptions'!$D$9,0)</x:f>
        <x:v>0</x:v>
      </x:c>
      <x:c r="E66" s="74" t="n">
        <x:f>IF(3='Assumptions'!$D$10,'Assumptions'!$D$9,0)</x:f>
        <x:v>0</x:v>
      </x:c>
      <x:c r="F66" s="74" t="n">
        <x:f>IF(4='Assumptions'!$D$10,'Assumptions'!$D$9,0)</x:f>
        <x:v>0</x:v>
      </x:c>
      <x:c r="G66" s="74" t="n">
        <x:f>IF(5='Assumptions'!$D$10,'Assumptions'!$D$9,0)</x:f>
        <x:v>0</x:v>
      </x:c>
      <x:c r="H66" s="74" t="n">
        <x:f>IF(6='Assumptions'!$D$10,'Assumptions'!$D$9,0)</x:f>
        <x:v>0</x:v>
      </x:c>
      <x:c r="I66" s="74" t="n">
        <x:f>IF(7='Assumptions'!$D$10,'Assumptions'!$D$9,0)</x:f>
        <x:v>0</x:v>
      </x:c>
      <x:c r="J66" s="74" t="n">
        <x:f>IF(8='Assumptions'!$D$10,'Assumptions'!$D$9,0)</x:f>
        <x:v>0</x:v>
      </x:c>
      <x:c r="K66" s="74" t="n">
        <x:f>IF(9='Assumptions'!$D$10,'Assumptions'!$D$9,0)</x:f>
        <x:v>0</x:v>
      </x:c>
      <x:c r="L66" s="74" t="n">
        <x:f>IF(10='Assumptions'!$D$10,'Assumptions'!$D$9,0)</x:f>
        <x:v>0</x:v>
      </x:c>
      <x:c r="M66" s="74" t="n">
        <x:f>IF(11='Assumptions'!$D$10,'Assumptions'!$D$9,0)</x:f>
        <x:v>0</x:v>
      </x:c>
      <x:c r="N66" s="74" t="n">
        <x:f>IF(12='Assumptions'!$D$10,'Assumptions'!$D$9,0)</x:f>
        <x:v>0</x:v>
      </x:c>
      <x:c r="O66" s="74" t="n">
        <x:f>IF(13='Assumptions'!$D$10,'Assumptions'!$D$9,0)</x:f>
        <x:v>0</x:v>
      </x:c>
      <x:c r="P66" s="74" t="n">
        <x:f>IF(14='Assumptions'!$D$10,'Assumptions'!$D$9,0)</x:f>
        <x:v>0</x:v>
      </x:c>
      <x:c r="Q66" s="74" t="n">
        <x:f>IF(15='Assumptions'!$D$10,'Assumptions'!$D$9,0)</x:f>
        <x:v>0</x:v>
      </x:c>
      <x:c r="R66" s="74" t="n">
        <x:f>IF(16='Assumptions'!$D$10,'Assumptions'!$D$9,0)</x:f>
        <x:v>0</x:v>
      </x:c>
      <x:c r="S66" s="74" t="n">
        <x:f>IF(17='Assumptions'!$D$10,'Assumptions'!$D$9,0)</x:f>
        <x:v>0</x:v>
      </x:c>
      <x:c r="T66" s="74" t="n">
        <x:f>IF(18='Assumptions'!$D$10,'Assumptions'!$D$9,0)</x:f>
        <x:v>0</x:v>
      </x:c>
      <x:c r="U66" s="74" t="n">
        <x:f>IF(19='Assumptions'!$D$10,'Assumptions'!$D$9,0)</x:f>
        <x:v>0</x:v>
      </x:c>
      <x:c r="V66" s="74" t="n">
        <x:f>IF(20='Assumptions'!$D$10,'Assumptions'!$D$9,0)</x:f>
        <x:v>0</x:v>
      </x:c>
      <x:c r="W66" s="74" t="n">
        <x:f>IF(21='Assumptions'!$D$10,'Assumptions'!$D$9,0)</x:f>
        <x:v>0</x:v>
      </x:c>
      <x:c r="X66" s="74" t="n">
        <x:f>IF(22='Assumptions'!$D$10,'Assumptions'!$D$9,0)</x:f>
        <x:v>0</x:v>
      </x:c>
      <x:c r="Y66" s="74" t="n">
        <x:f>IF(23='Assumptions'!$D$10,'Assumptions'!$D$9,0)</x:f>
        <x:v>0</x:v>
      </x:c>
      <x:c r="Z66" s="74" t="n">
        <x:f>IF(24='Assumptions'!$D$10,'Assumptions'!$D$9,0)</x:f>
        <x:v>0</x:v>
      </x:c>
      <x:c r="AA66" s="74" t="n">
        <x:f>IF(25='Assumptions'!$D$10,'Assumptions'!$D$9,0)</x:f>
        <x:v>0</x:v>
      </x:c>
      <x:c r="AB66" s="74" t="n">
        <x:f>IF(26='Assumptions'!$D$10,'Assumptions'!$D$9,0)</x:f>
        <x:v>0</x:v>
      </x:c>
      <x:c r="AC66" s="74" t="n">
        <x:f>IF(27='Assumptions'!$D$10,'Assumptions'!$D$9,0)</x:f>
        <x:v>0</x:v>
      </x:c>
      <x:c r="AD66" s="74" t="n">
        <x:f>IF(28='Assumptions'!$D$10,'Assumptions'!$D$9,0)</x:f>
        <x:v>0</x:v>
      </x:c>
      <x:c r="AE66" s="74" t="n">
        <x:f>IF(29='Assumptions'!$D$10,'Assumptions'!$D$9,0)</x:f>
        <x:v>0</x:v>
      </x:c>
      <x:c r="AF66" s="74" t="n">
        <x:f>IF(30='Assumptions'!$D$10,'Assumptions'!$D$9,0)</x:f>
        <x:v>0</x:v>
      </x:c>
      <x:c r="AG66" s="74" t="n">
        <x:f>IF(31='Assumptions'!$D$10,'Assumptions'!$D$9,0)</x:f>
        <x:v>0</x:v>
      </x:c>
      <x:c r="AH66" s="74" t="n">
        <x:f>IF(32='Assumptions'!$D$10,'Assumptions'!$D$9,0)</x:f>
        <x:v>0</x:v>
      </x:c>
      <x:c r="AI66" s="74" t="n">
        <x:f>IF(33='Assumptions'!$D$10,'Assumptions'!$D$9,0)</x:f>
        <x:v>0</x:v>
      </x:c>
      <x:c r="AJ66" s="74" t="n">
        <x:f>IF(34='Assumptions'!$D$10,'Assumptions'!$D$9,0)</x:f>
        <x:v>0</x:v>
      </x:c>
      <x:c r="AK66" s="74" t="n">
        <x:f>IF(35='Assumptions'!$D$10,'Assumptions'!$D$9,0)</x:f>
        <x:v>0</x:v>
      </x:c>
      <x:c r="AL66" s="74" t="n">
        <x:f>IF(36='Assumptions'!$D$10,'Assumptions'!$D$9,0)</x:f>
        <x:v>0</x:v>
      </x:c>
    </x:row>
    <x:row r="67">
      <x:c r="A67" s="14" t="str">
        <x:v>Net Cash Flow</x:v>
      </x:c>
      <x:c r="B67" s="14" t="str"/>
      <x:c r="C67" s="74" t="n">
        <x:f>C65+C66</x:f>
        <x:v>1431580228.8</x:v>
      </x:c>
      <x:c r="D67" s="74" t="n">
        <x:f>D65+D66</x:f>
        <x:v>-68959276.92</x:v>
      </x:c>
      <x:c r="E67" s="74" t="n">
        <x:f>E65+E66</x:f>
        <x:v>-69485294.99700001</x:v>
      </x:c>
      <x:c r="F67" s="74" t="n">
        <x:f>F65+F66</x:f>
        <x:v>-58193593.022075</x:v>
      </x:c>
      <x:c r="G67" s="74" t="n">
        <x:f>G65+G66</x:f>
        <x:v>-47184183.59652312</x:v>
      </x:c>
      <x:c r="H67" s="74" t="n">
        <x:f>H65+H66</x:f>
        <x:v>-36450009.40661004</x:v>
      </x:c>
      <x:c r="I67" s="74" t="n">
        <x:f>I65+I66</x:f>
        <x:v>-25984189.571444795</x:v>
      </x:c>
      <x:c r="J67" s="74" t="n">
        <x:f>J65+J66</x:f>
        <x:v>-15780015.232158676</x:v>
      </x:c>
      <x:c r="K67" s="74" t="n">
        <x:f>K65+K66</x:f>
        <x:v>-5830945.251354724</x:v>
      </x:c>
      <x:c r="L67" s="74" t="n">
        <x:f>L65+L66</x:f>
        <x:v>3869397.979929149</x:v>
      </x:c>
      <x:c r="M67" s="74" t="n">
        <x:f>M65+M66</x:f>
        <x:v>13327232.630430907</x:v>
      </x:c>
      <x:c r="N67" s="74" t="n">
        <x:f>N65+N66</x:f>
        <x:v>22548621.41467014</x:v>
      </x:c>
      <x:c r="O67" s="74" t="n">
        <x:f>O65+O66</x:f>
        <x:v>31539475.479303405</x:v>
      </x:c>
      <x:c r="P67" s="74" t="n">
        <x:f>P65+P66</x:f>
        <x:v>40305558.19232082</x:v>
      </x:c>
      <x:c r="Q67" s="74" t="n">
        <x:f>Q65+Q66</x:f>
        <x:v>48852488.83751282</x:v>
      </x:c>
      <x:c r="R67" s="74" t="n">
        <x:f>R65+R66</x:f>
        <x:v>57185746.21657503</x:v>
      </x:c>
      <x:c r="S67" s="74" t="n">
        <x:f>S65+S66</x:f>
        <x:v>65310672.16116065</x:v>
      </x:c>
      <x:c r="T67" s="74" t="n">
        <x:f>T65+T66</x:f>
        <x:v>73232474.95713165</x:v>
      </x:c>
      <x:c r="U67" s="74" t="n">
        <x:f>U65+U66</x:f>
        <x:v>80956232.6832034</x:v>
      </x:c>
      <x:c r="V67" s="74" t="n">
        <x:f>V65+V66</x:f>
        <x:v>88486896.46612328</x:v>
      </x:c>
      <x:c r="W67" s="74" t="n">
        <x:f>W65+W66</x:f>
        <x:v>95829293.65447024</x:v>
      </x:c>
      <x:c r="X67" s="74" t="n">
        <x:f>X65+X66</x:f>
        <x:v>102988130.9131085</x:v>
      </x:c>
      <x:c r="Y67" s="74" t="n">
        <x:f>Y65+Y66</x:f>
        <x:v>109967997.2402808</x:v>
      </x:c>
      <x:c r="Z67" s="74" t="n">
        <x:f>Z65+Z66</x:f>
        <x:v>116773366.90927377</x:v>
      </x:c>
      <x:c r="AA67" s="74" t="n">
        <x:f>AA65+AA66</x:f>
        <x:v>123408602.33654192</x:v>
      </x:c>
      <x:c r="AB67" s="74" t="n">
        <x:f>AB65+AB66</x:f>
        <x:v>129877956.87812838</x:v>
      </x:c>
      <x:c r="AC67" s="74" t="n">
        <x:f>AC65+AC66</x:f>
        <x:v>136185577.55617517</x:v>
      </x:c>
      <x:c r="AD67" s="74" t="n">
        <x:f>AD65+AD66</x:f>
        <x:v>142335507.71727076</x:v>
      </x:c>
      <x:c r="AE67" s="74" t="n">
        <x:f>AE65+AE66</x:f>
        <x:v>148331689.62433895</x:v>
      </x:c>
      <x:c r="AF67" s="74" t="n">
        <x:f>AF65+AF66</x:f>
        <x:v>154177966.9837305</x:v>
      </x:c>
      <x:c r="AG67" s="74" t="n">
        <x:f>AG65+AG66</x:f>
        <x:v>159878087.40913728</x:v>
      </x:c>
      <x:c r="AH67" s="74" t="n">
        <x:f>AH65+AH66</x:f>
        <x:v>165435704.8239088</x:v>
      </x:c>
      <x:c r="AI67" s="74" t="n">
        <x:f>AI65+AI66</x:f>
        <x:v>170854381.80331117</x:v>
      </x:c>
      <x:c r="AJ67" s="74" t="n">
        <x:f>AJ65+AJ66</x:f>
        <x:v>176137591.8582284</x:v>
      </x:c>
      <x:c r="AK67" s="74" t="n">
        <x:f>AK65+AK66</x:f>
        <x:v>181288721.66177267</x:v>
      </x:c>
      <x:c r="AL67" s="74" t="n">
        <x:f>AL65+AL66</x:f>
        <x:v>186311073.22022837</x:v>
      </x:c>
    </x:row>
    <x:row r="68">
      <x:c r="A68" s="14" t="str">
        <x:v>Beginning Cash</x:v>
      </x:c>
      <x:c r="B68" s="14" t="str"/>
      <x:c r="C68" s="74" t="n">
        <x:f>'Assumptions'!$D$8</x:f>
        <x:v>500000000</x:v>
      </x:c>
      <x:c r="D68" s="74" t="n">
        <x:f>C69</x:f>
        <x:v>1931580228.8</x:v>
      </x:c>
      <x:c r="E68" s="74" t="n">
        <x:f>D69</x:f>
        <x:v>1862620951.8799999</x:v>
      </x:c>
      <x:c r="F68" s="74" t="n">
        <x:f>E69</x:f>
        <x:v>1793135656.883</x:v>
      </x:c>
      <x:c r="G68" s="74" t="n">
        <x:f>F69</x:f>
        <x:v>1734942063.860925</x:v>
      </x:c>
      <x:c r="H68" s="74" t="n">
        <x:f>G69</x:f>
        <x:v>1687757880.264402</x:v>
      </x:c>
      <x:c r="I68" s="74" t="n">
        <x:f>H69</x:f>
        <x:v>1651307870.857792</x:v>
      </x:c>
      <x:c r="J68" s="74" t="n">
        <x:f>I69</x:f>
        <x:v>1625323681.2863472</x:v>
      </x:c>
      <x:c r="K68" s="74" t="n">
        <x:f>J69</x:f>
        <x:v>1609543666.0541885</x:v>
      </x:c>
      <x:c r="L68" s="74" t="n">
        <x:f>K69</x:f>
        <x:v>1603712720.8028338</x:v>
      </x:c>
      <x:c r="M68" s="74" t="n">
        <x:f>L69</x:f>
        <x:v>1607582118.782763</x:v>
      </x:c>
      <x:c r="N68" s="74" t="n">
        <x:f>M69</x:f>
        <x:v>1620909351.413194</x:v>
      </x:c>
      <x:c r="O68" s="74" t="n">
        <x:f>N69</x:f>
        <x:v>1643457972.8278642</x:v>
      </x:c>
      <x:c r="P68" s="74" t="n">
        <x:f>O69</x:f>
        <x:v>1674997448.3071675</x:v>
      </x:c>
      <x:c r="Q68" s="74" t="n">
        <x:f>P69</x:f>
        <x:v>1715303006.4994884</x:v>
      </x:c>
      <x:c r="R68" s="74" t="n">
        <x:f>Q69</x:f>
        <x:v>1764155495.337001</x:v>
      </x:c>
      <x:c r="S68" s="74" t="n">
        <x:f>R69</x:f>
        <x:v>1821341241.553576</x:v>
      </x:c>
      <x:c r="T68" s="74" t="n">
        <x:f>S69</x:f>
        <x:v>1886651913.7147367</x:v>
      </x:c>
      <x:c r="U68" s="74" t="n">
        <x:f>T69</x:f>
        <x:v>1959884388.6718683</x:v>
      </x:c>
      <x:c r="V68" s="74" t="n">
        <x:f>U69</x:f>
        <x:v>2040840621.3550718</x:v>
      </x:c>
      <x:c r="W68" s="74" t="n">
        <x:f>V69</x:f>
        <x:v>2129327517.8211951</x:v>
      </x:c>
      <x:c r="X68" s="74" t="n">
        <x:f>W69</x:f>
        <x:v>2225156811.4756656</x:v>
      </x:c>
      <x:c r="Y68" s="74" t="n">
        <x:f>X69</x:f>
        <x:v>2328144942.388774</x:v>
      </x:c>
      <x:c r="Z68" s="74" t="n">
        <x:f>Y69</x:f>
        <x:v>2438112939.6290545</x:v>
      </x:c>
      <x:c r="AA68" s="74" t="n">
        <x:f>Z69</x:f>
        <x:v>2554886306.538328</x:v>
      </x:c>
      <x:c r="AB68" s="74" t="n">
        <x:f>AA69</x:f>
        <x:v>2678294908.8748703</x:v>
      </x:c>
      <x:c r="AC68" s="74" t="n">
        <x:f>AB69</x:f>
        <x:v>2808172865.752999</x:v>
      </x:c>
      <x:c r="AD68" s="74" t="n">
        <x:f>AC69</x:f>
        <x:v>2944358443.309174</x:v>
      </x:c>
      <x:c r="AE68" s="74" t="n">
        <x:f>AD69</x:f>
        <x:v>3086693951.026445</x:v>
      </x:c>
      <x:c r="AF68" s="74" t="n">
        <x:f>AE69</x:f>
        <x:v>3235025640.650784</x:v>
      </x:c>
      <x:c r="AG68" s="74" t="n">
        <x:f>AF69</x:f>
        <x:v>3389203607.6345143</x:v>
      </x:c>
      <x:c r="AH68" s="74" t="n">
        <x:f>AG69</x:f>
        <x:v>3549081695.0436516</x:v>
      </x:c>
      <x:c r="AI68" s="74" t="n">
        <x:f>AH69</x:f>
        <x:v>3714517399.8675604</x:v>
      </x:c>
      <x:c r="AJ68" s="74" t="n">
        <x:f>AI69</x:f>
        <x:v>3885371781.6708717</x:v>
      </x:c>
      <x:c r="AK68" s="74" t="n">
        <x:f>AJ69</x:f>
        <x:v>4061509373.5291</x:v>
      </x:c>
      <x:c r="AL68" s="74" t="n">
        <x:f>AK69</x:f>
        <x:v>4242798095.1908727</x:v>
      </x:c>
    </x:row>
    <x:row r="69">
      <x:c r="A69" s="14" t="str">
        <x:v>Ending Cash</x:v>
      </x:c>
      <x:c r="B69" s="14" t="str"/>
      <x:c r="C69" s="76" t="n">
        <x:f>C68+C67</x:f>
        <x:v>1931580228.8</x:v>
      </x:c>
      <x:c r="D69" s="76" t="n">
        <x:f>D68+D67</x:f>
        <x:v>1862620951.8799999</x:v>
      </x:c>
      <x:c r="E69" s="76" t="n">
        <x:f>E68+E67</x:f>
        <x:v>1793135656.883</x:v>
      </x:c>
      <x:c r="F69" s="76" t="n">
        <x:f>F68+F67</x:f>
        <x:v>1734942063.860925</x:v>
      </x:c>
      <x:c r="G69" s="76" t="n">
        <x:f>G68+G67</x:f>
        <x:v>1687757880.264402</x:v>
      </x:c>
      <x:c r="H69" s="76" t="n">
        <x:f>H68+H67</x:f>
        <x:v>1651307870.857792</x:v>
      </x:c>
      <x:c r="I69" s="76" t="n">
        <x:f>I68+I67</x:f>
        <x:v>1625323681.2863472</x:v>
      </x:c>
      <x:c r="J69" s="76" t="n">
        <x:f>J68+J67</x:f>
        <x:v>1609543666.0541885</x:v>
      </x:c>
      <x:c r="K69" s="76" t="n">
        <x:f>K68+K67</x:f>
        <x:v>1603712720.8028338</x:v>
      </x:c>
      <x:c r="L69" s="76" t="n">
        <x:f>L68+L67</x:f>
        <x:v>1607582118.782763</x:v>
      </x:c>
      <x:c r="M69" s="76" t="n">
        <x:f>M68+M67</x:f>
        <x:v>1620909351.413194</x:v>
      </x:c>
      <x:c r="N69" s="76" t="n">
        <x:f>N68+N67</x:f>
        <x:v>1643457972.8278642</x:v>
      </x:c>
      <x:c r="O69" s="76" t="n">
        <x:f>O68+O67</x:f>
        <x:v>1674997448.3071675</x:v>
      </x:c>
      <x:c r="P69" s="76" t="n">
        <x:f>P68+P67</x:f>
        <x:v>1715303006.4994884</x:v>
      </x:c>
      <x:c r="Q69" s="76" t="n">
        <x:f>Q68+Q67</x:f>
        <x:v>1764155495.337001</x:v>
      </x:c>
      <x:c r="R69" s="76" t="n">
        <x:f>R68+R67</x:f>
        <x:v>1821341241.553576</x:v>
      </x:c>
      <x:c r="S69" s="76" t="n">
        <x:f>S68+S67</x:f>
        <x:v>1886651913.7147367</x:v>
      </x:c>
      <x:c r="T69" s="76" t="n">
        <x:f>T68+T67</x:f>
        <x:v>1959884388.6718683</x:v>
      </x:c>
      <x:c r="U69" s="76" t="n">
        <x:f>U68+U67</x:f>
        <x:v>2040840621.3550718</x:v>
      </x:c>
      <x:c r="V69" s="76" t="n">
        <x:f>V68+V67</x:f>
        <x:v>2129327517.8211951</x:v>
      </x:c>
      <x:c r="W69" s="76" t="n">
        <x:f>W68+W67</x:f>
        <x:v>2225156811.4756656</x:v>
      </x:c>
      <x:c r="X69" s="76" t="n">
        <x:f>X68+X67</x:f>
        <x:v>2328144942.388774</x:v>
      </x:c>
      <x:c r="Y69" s="76" t="n">
        <x:f>Y68+Y67</x:f>
        <x:v>2438112939.6290545</x:v>
      </x:c>
      <x:c r="Z69" s="76" t="n">
        <x:f>Z68+Z67</x:f>
        <x:v>2554886306.538328</x:v>
      </x:c>
      <x:c r="AA69" s="76" t="n">
        <x:f>AA68+AA67</x:f>
        <x:v>2678294908.8748703</x:v>
      </x:c>
      <x:c r="AB69" s="76" t="n">
        <x:f>AB68+AB67</x:f>
        <x:v>2808172865.752999</x:v>
      </x:c>
      <x:c r="AC69" s="76" t="n">
        <x:f>AC68+AC67</x:f>
        <x:v>2944358443.309174</x:v>
      </x:c>
      <x:c r="AD69" s="76" t="n">
        <x:f>AD68+AD67</x:f>
        <x:v>3086693951.026445</x:v>
      </x:c>
      <x:c r="AE69" s="76" t="n">
        <x:f>AE68+AE67</x:f>
        <x:v>3235025640.650784</x:v>
      </x:c>
      <x:c r="AF69" s="76" t="n">
        <x:f>AF68+AF67</x:f>
        <x:v>3389203607.6345143</x:v>
      </x:c>
      <x:c r="AG69" s="76" t="n">
        <x:f>AG68+AG67</x:f>
        <x:v>3549081695.0436516</x:v>
      </x:c>
      <x:c r="AH69" s="76" t="n">
        <x:f>AH68+AH67</x:f>
        <x:v>3714517399.8675604</x:v>
      </x:c>
      <x:c r="AI69" s="76" t="n">
        <x:f>AI68+AI67</x:f>
        <x:v>3885371781.6708717</x:v>
      </x:c>
      <x:c r="AJ69" s="76" t="n">
        <x:f>AJ68+AJ67</x:f>
        <x:v>4061509373.5291</x:v>
      </x:c>
      <x:c r="AK69" s="76" t="n">
        <x:f>AK68+AK67</x:f>
        <x:v>4242798095.1908727</x:v>
      </x:c>
      <x:c r="AL69" s="76" t="n">
        <x:f>AL68+AL67</x:f>
        <x:v>4429109168.411101</x:v>
      </x:c>
    </x:row>
    <x:row r="70">
      <x:c r="A70" s="80" t="str">
        <x:v>Upside Scenario Engine</x:v>
      </x:c>
      <x:c r="B70" s="80"/>
      <x:c r="C70" s="80"/>
      <x:c r="D70" s="80"/>
      <x:c r="E70" s="80"/>
      <x:c r="F70" s="80"/>
      <x:c r="G70" s="80"/>
      <x:c r="H70" s="80"/>
      <x:c r="I70" s="80"/>
      <x:c r="J70" s="80"/>
      <x:c r="K70" s="80"/>
      <x:c r="L70" s="80"/>
      <x:c r="M70" s="80"/>
      <x:c r="N70" s="80"/>
      <x:c r="O70" s="80"/>
      <x:c r="P70" s="80"/>
      <x:c r="Q70" s="80"/>
      <x:c r="R70" s="80"/>
      <x:c r="S70" s="80"/>
      <x:c r="T70" s="80"/>
      <x:c r="U70" s="80"/>
      <x:c r="V70" s="80"/>
      <x:c r="W70" s="80"/>
      <x:c r="X70" s="80"/>
      <x:c r="Y70" s="80"/>
      <x:c r="Z70" s="80"/>
      <x:c r="AA70" s="80"/>
      <x:c r="AB70" s="80"/>
      <x:c r="AC70" s="80"/>
      <x:c r="AD70" s="80"/>
      <x:c r="AE70" s="80"/>
      <x:c r="AF70" s="80"/>
      <x:c r="AG70" s="80"/>
      <x:c r="AH70" s="80"/>
      <x:c r="AI70" s="80"/>
      <x:c r="AJ70" s="80"/>
      <x:c r="AK70" s="80"/>
      <x:c r="AL70" s="80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</x:row>
    <x:row r="72">
      <x:c r="A72" s="14" t="str">
        <x:v>Beginning Customers</x:v>
      </x:c>
      <x:c r="B72" s="14" t="str"/>
      <x:c r="C72" s="73" t="n">
        <x:f>'Assumptions'!$D$7</x:f>
        <x:v>3</x:v>
      </x:c>
      <x:c r="D72" s="73" t="n">
        <x:f>C75</x:f>
        <x:v>2.955</x:v>
      </x:c>
      <x:c r="E72" s="73" t="n">
        <x:f>D75</x:f>
        <x:v>2.910675</x:v>
      </x:c>
      <x:c r="F72" s="73" t="n">
        <x:f>E75</x:f>
        <x:v>2.8670148749999997</x:v>
      </x:c>
      <x:c r="G72" s="73" t="n">
        <x:f>F75</x:f>
        <x:v>7.8640096518750005</x:v>
      </x:c>
      <x:c r="H72" s="73" t="n">
        <x:f>G75</x:f>
        <x:v>12.786049507096875</x:v>
      </x:c>
      <x:c r="I72" s="73" t="n">
        <x:f>H75</x:f>
        <x:v>17.634258764490422</x:v>
      </x:c>
      <x:c r="J72" s="73" t="n">
        <x:f>I75</x:f>
        <x:v>22.40974488302307</x:v>
      </x:c>
      <x:c r="K72" s="73" t="n">
        <x:f>J75</x:f>
        <x:v>27.113598709777726</x:v>
      </x:c>
      <x:c r="L72" s="73" t="n">
        <x:f>K75</x:f>
        <x:v>31.74689472913106</x:v>
      </x:c>
      <x:c r="M72" s="73" t="n">
        <x:f>L75</x:f>
        <x:v>36.310691308194095</x:v>
      </x:c>
      <x:c r="N72" s="73" t="n">
        <x:f>M75</x:f>
        <x:v>40.80603093857118</x:v>
      </x:c>
      <x:c r="O72" s="73" t="n">
        <x:f>N75</x:f>
        <x:v>45.23394047449261</x:v>
      </x:c>
      <x:c r="P72" s="73" t="n">
        <x:f>O75</x:f>
        <x:v>49.59543136737522</x:v>
      </x:c>
      <x:c r="Q72" s="73" t="n">
        <x:f>P75</x:f>
        <x:v>53.89149989686459</x:v>
      </x:c>
      <x:c r="R72" s="73" t="n">
        <x:f>Q75</x:f>
        <x:v>58.12312739841162</x:v>
      </x:c>
      <x:c r="S72" s="73" t="n">
        <x:f>R75</x:f>
        <x:v>62.29128048743544</x:v>
      </x:c>
      <x:c r="T72" s="73" t="n">
        <x:f>S75</x:f>
        <x:v>66.39691128012392</x:v>
      </x:c>
      <x:c r="U72" s="73" t="n">
        <x:f>T75</x:f>
        <x:v>70.44095761092207</x:v>
      </x:c>
      <x:c r="V72" s="73" t="n">
        <x:f>U75</x:f>
        <x:v>74.42434324675824</x:v>
      </x:c>
      <x:c r="W72" s="73" t="n">
        <x:f>V75</x:f>
        <x:v>78.34797809805687</x:v>
      </x:c>
      <x:c r="X72" s="73" t="n">
        <x:f>W75</x:f>
        <x:v>82.21275842658602</x:v>
      </x:c>
      <x:c r="Y72" s="73" t="n">
        <x:f>X75</x:f>
        <x:v>86.01956705018723</x:v>
      </x:c>
      <x:c r="Z72" s="73" t="n">
        <x:f>Y75</x:f>
        <x:v>89.76927354443443</x:v>
      </x:c>
      <x:c r="AA72" s="73" t="n">
        <x:f>Z75</x:f>
        <x:v>93.46273444126791</x:v>
      </x:c>
      <x:c r="AB72" s="73" t="n">
        <x:f>AA75</x:f>
        <x:v>97.1007934246489</x:v>
      </x:c>
      <x:c r="AC72" s="73" t="n">
        <x:f>AB75</x:f>
        <x:v>100.68428152327917</x:v>
      </x:c>
      <x:c r="AD72" s="73" t="n">
        <x:f>AC75</x:f>
        <x:v>104.21401730042999</x:v>
      </x:c>
      <x:c r="AE72" s="73" t="n">
        <x:f>AD75</x:f>
        <x:v>107.69080704092354</x:v>
      </x:c>
      <x:c r="AF72" s="73" t="n">
        <x:f>AE75</x:f>
        <x:v>111.1154449353097</x:v>
      </x:c>
      <x:c r="AG72" s="73" t="n">
        <x:f>AF75</x:f>
        <x:v>114.48871326128005</x:v>
      </x:c>
      <x:c r="AH72" s="73" t="n">
        <x:f>AG75</x:f>
        <x:v>117.81138256236086</x:v>
      </x:c>
      <x:c r="AI72" s="73" t="n">
        <x:f>AH75</x:f>
        <x:v>121.08421182392546</x:v>
      </x:c>
      <x:c r="AJ72" s="73" t="n">
        <x:f>AI75</x:f>
        <x:v>124.30794864656659</x:v>
      </x:c>
      <x:c r="AK72" s="73" t="n">
        <x:f>AJ75</x:f>
        <x:v>127.48332941686807</x:v>
      </x:c>
      <x:c r="AL72" s="73" t="n">
        <x:f>AK75</x:f>
        <x:v>130.61107947561507</x:v>
      </x:c>
    </x:row>
    <x:row r="73">
      <x:c r="A73" s="14" t="str">
        <x:v>New Customers</x:v>
      </x:c>
      <x:c r="B73" s="14" t="str"/>
      <x:c r="C73" s="73" t="n">
        <x:f>IF(1&lt;='Assumptions'!$D$11,0,INDEX('Assumptions'!$C$21:$AL$21,1,1-'Assumptions'!$D$11)*INDEX('Assumptions'!$C$26:$AL$26,1,1-'Assumptions'!$D$11)*INDEX('Assumptions'!$C$31:$AL$31,1,1-'Assumptions'!$D$11))</x:f>
        <x:v>0</x:v>
      </x:c>
      <x:c r="D73" s="73" t="n">
        <x:f>IF(2&lt;='Assumptions'!$D$11,0,INDEX('Assumptions'!$C$21:$AL$21,1,2-'Assumptions'!$D$11)*INDEX('Assumptions'!$C$26:$AL$26,1,2-'Assumptions'!$D$11)*INDEX('Assumptions'!$C$31:$AL$31,1,2-'Assumptions'!$D$11))</x:f>
        <x:v>0</x:v>
      </x:c>
      <x:c r="E73" s="73" t="n">
        <x:f>IF(3&lt;='Assumptions'!$D$11,0,INDEX('Assumptions'!$C$21:$AL$21,1,3-'Assumptions'!$D$11)*INDEX('Assumptions'!$C$26:$AL$26,1,3-'Assumptions'!$D$11)*INDEX('Assumptions'!$C$31:$AL$31,1,3-'Assumptions'!$D$11))</x:f>
        <x:v>0</x:v>
      </x:c>
      <x:c r="F73" s="73" t="n">
        <x:f>IF(4&lt;='Assumptions'!$D$11,0,INDEX('Assumptions'!$C$21:$AL$21,1,4-'Assumptions'!$D$11)*INDEX('Assumptions'!$C$26:$AL$26,1,4-'Assumptions'!$D$11)*INDEX('Assumptions'!$C$31:$AL$31,1,4-'Assumptions'!$D$11))</x:f>
        <x:v>5.040000000000001</x:v>
      </x:c>
      <x:c r="G73" s="73" t="n">
        <x:f>IF(5&lt;='Assumptions'!$D$11,0,INDEX('Assumptions'!$C$21:$AL$21,1,5-'Assumptions'!$D$11)*INDEX('Assumptions'!$C$26:$AL$26,1,5-'Assumptions'!$D$11)*INDEX('Assumptions'!$C$31:$AL$31,1,5-'Assumptions'!$D$11))</x:f>
        <x:v>5.040000000000001</x:v>
      </x:c>
      <x:c r="H73" s="73" t="n">
        <x:f>IF(6&lt;='Assumptions'!$D$11,0,INDEX('Assumptions'!$C$21:$AL$21,1,6-'Assumptions'!$D$11)*INDEX('Assumptions'!$C$26:$AL$26,1,6-'Assumptions'!$D$11)*INDEX('Assumptions'!$C$31:$AL$31,1,6-'Assumptions'!$D$11))</x:f>
        <x:v>5.040000000000001</x:v>
      </x:c>
      <x:c r="I73" s="73" t="n">
        <x:f>IF(7&lt;='Assumptions'!$D$11,0,INDEX('Assumptions'!$C$21:$AL$21,1,7-'Assumptions'!$D$11)*INDEX('Assumptions'!$C$26:$AL$26,1,7-'Assumptions'!$D$11)*INDEX('Assumptions'!$C$31:$AL$31,1,7-'Assumptions'!$D$11))</x:f>
        <x:v>5.040000000000001</x:v>
      </x:c>
      <x:c r="J73" s="73" t="n">
        <x:f>IF(8&lt;='Assumptions'!$D$11,0,INDEX('Assumptions'!$C$21:$AL$21,1,8-'Assumptions'!$D$11)*INDEX('Assumptions'!$C$26:$AL$26,1,8-'Assumptions'!$D$11)*INDEX('Assumptions'!$C$31:$AL$31,1,8-'Assumptions'!$D$11))</x:f>
        <x:v>5.040000000000001</x:v>
      </x:c>
      <x:c r="K73" s="73" t="n">
        <x:f>IF(9&lt;='Assumptions'!$D$11,0,INDEX('Assumptions'!$C$21:$AL$21,1,9-'Assumptions'!$D$11)*INDEX('Assumptions'!$C$26:$AL$26,1,9-'Assumptions'!$D$11)*INDEX('Assumptions'!$C$31:$AL$31,1,9-'Assumptions'!$D$11))</x:f>
        <x:v>5.040000000000001</x:v>
      </x:c>
      <x:c r="L73" s="73" t="n">
        <x:f>IF(10&lt;='Assumptions'!$D$11,0,INDEX('Assumptions'!$C$21:$AL$21,1,10-'Assumptions'!$D$11)*INDEX('Assumptions'!$C$26:$AL$26,1,10-'Assumptions'!$D$11)*INDEX('Assumptions'!$C$31:$AL$31,1,10-'Assumptions'!$D$11))</x:f>
        <x:v>5.040000000000001</x:v>
      </x:c>
      <x:c r="M73" s="73" t="n">
        <x:f>IF(11&lt;='Assumptions'!$D$11,0,INDEX('Assumptions'!$C$21:$AL$21,1,11-'Assumptions'!$D$11)*INDEX('Assumptions'!$C$26:$AL$26,1,11-'Assumptions'!$D$11)*INDEX('Assumptions'!$C$31:$AL$31,1,11-'Assumptions'!$D$11))</x:f>
        <x:v>5.040000000000001</x:v>
      </x:c>
      <x:c r="N73" s="73" t="n">
        <x:f>IF(12&lt;='Assumptions'!$D$11,0,INDEX('Assumptions'!$C$21:$AL$21,1,12-'Assumptions'!$D$11)*INDEX('Assumptions'!$C$26:$AL$26,1,12-'Assumptions'!$D$11)*INDEX('Assumptions'!$C$31:$AL$31,1,12-'Assumptions'!$D$11))</x:f>
        <x:v>5.040000000000001</x:v>
      </x:c>
      <x:c r="O73" s="73" t="n">
        <x:f>IF(13&lt;='Assumptions'!$D$11,0,INDEX('Assumptions'!$C$21:$AL$21,1,13-'Assumptions'!$D$11)*INDEX('Assumptions'!$C$26:$AL$26,1,13-'Assumptions'!$D$11)*INDEX('Assumptions'!$C$31:$AL$31,1,13-'Assumptions'!$D$11))</x:f>
        <x:v>5.040000000000001</x:v>
      </x:c>
      <x:c r="P73" s="73" t="n">
        <x:f>IF(14&lt;='Assumptions'!$D$11,0,INDEX('Assumptions'!$C$21:$AL$21,1,14-'Assumptions'!$D$11)*INDEX('Assumptions'!$C$26:$AL$26,1,14-'Assumptions'!$D$11)*INDEX('Assumptions'!$C$31:$AL$31,1,14-'Assumptions'!$D$11))</x:f>
        <x:v>5.040000000000001</x:v>
      </x:c>
      <x:c r="Q73" s="73" t="n">
        <x:f>IF(15&lt;='Assumptions'!$D$11,0,INDEX('Assumptions'!$C$21:$AL$21,1,15-'Assumptions'!$D$11)*INDEX('Assumptions'!$C$26:$AL$26,1,15-'Assumptions'!$D$11)*INDEX('Assumptions'!$C$31:$AL$31,1,15-'Assumptions'!$D$11))</x:f>
        <x:v>5.040000000000001</x:v>
      </x:c>
      <x:c r="R73" s="73" t="n">
        <x:f>IF(16&lt;='Assumptions'!$D$11,0,INDEX('Assumptions'!$C$21:$AL$21,1,16-'Assumptions'!$D$11)*INDEX('Assumptions'!$C$26:$AL$26,1,16-'Assumptions'!$D$11)*INDEX('Assumptions'!$C$31:$AL$31,1,16-'Assumptions'!$D$11))</x:f>
        <x:v>5.040000000000001</x:v>
      </x:c>
      <x:c r="S73" s="73" t="n">
        <x:f>IF(17&lt;='Assumptions'!$D$11,0,INDEX('Assumptions'!$C$21:$AL$21,1,17-'Assumptions'!$D$11)*INDEX('Assumptions'!$C$26:$AL$26,1,17-'Assumptions'!$D$11)*INDEX('Assumptions'!$C$31:$AL$31,1,17-'Assumptions'!$D$11))</x:f>
        <x:v>5.040000000000001</x:v>
      </x:c>
      <x:c r="T73" s="73" t="n">
        <x:f>IF(18&lt;='Assumptions'!$D$11,0,INDEX('Assumptions'!$C$21:$AL$21,1,18-'Assumptions'!$D$11)*INDEX('Assumptions'!$C$26:$AL$26,1,18-'Assumptions'!$D$11)*INDEX('Assumptions'!$C$31:$AL$31,1,18-'Assumptions'!$D$11))</x:f>
        <x:v>5.040000000000001</x:v>
      </x:c>
      <x:c r="U73" s="73" t="n">
        <x:f>IF(19&lt;='Assumptions'!$D$11,0,INDEX('Assumptions'!$C$21:$AL$21,1,19-'Assumptions'!$D$11)*INDEX('Assumptions'!$C$26:$AL$26,1,19-'Assumptions'!$D$11)*INDEX('Assumptions'!$C$31:$AL$31,1,19-'Assumptions'!$D$11))</x:f>
        <x:v>5.040000000000001</x:v>
      </x:c>
      <x:c r="V73" s="73" t="n">
        <x:f>IF(20&lt;='Assumptions'!$D$11,0,INDEX('Assumptions'!$C$21:$AL$21,1,20-'Assumptions'!$D$11)*INDEX('Assumptions'!$C$26:$AL$26,1,20-'Assumptions'!$D$11)*INDEX('Assumptions'!$C$31:$AL$31,1,20-'Assumptions'!$D$11))</x:f>
        <x:v>5.040000000000001</x:v>
      </x:c>
      <x:c r="W73" s="73" t="n">
        <x:f>IF(21&lt;='Assumptions'!$D$11,0,INDEX('Assumptions'!$C$21:$AL$21,1,21-'Assumptions'!$D$11)*INDEX('Assumptions'!$C$26:$AL$26,1,21-'Assumptions'!$D$11)*INDEX('Assumptions'!$C$31:$AL$31,1,21-'Assumptions'!$D$11))</x:f>
        <x:v>5.040000000000001</x:v>
      </x:c>
      <x:c r="X73" s="73" t="n">
        <x:f>IF(22&lt;='Assumptions'!$D$11,0,INDEX('Assumptions'!$C$21:$AL$21,1,22-'Assumptions'!$D$11)*INDEX('Assumptions'!$C$26:$AL$26,1,22-'Assumptions'!$D$11)*INDEX('Assumptions'!$C$31:$AL$31,1,22-'Assumptions'!$D$11))</x:f>
        <x:v>5.040000000000001</x:v>
      </x:c>
      <x:c r="Y73" s="73" t="n">
        <x:f>IF(23&lt;='Assumptions'!$D$11,0,INDEX('Assumptions'!$C$21:$AL$21,1,23-'Assumptions'!$D$11)*INDEX('Assumptions'!$C$26:$AL$26,1,23-'Assumptions'!$D$11)*INDEX('Assumptions'!$C$31:$AL$31,1,23-'Assumptions'!$D$11))</x:f>
        <x:v>5.040000000000001</x:v>
      </x:c>
      <x:c r="Z73" s="73" t="n">
        <x:f>IF(24&lt;='Assumptions'!$D$11,0,INDEX('Assumptions'!$C$21:$AL$21,1,24-'Assumptions'!$D$11)*INDEX('Assumptions'!$C$26:$AL$26,1,24-'Assumptions'!$D$11)*INDEX('Assumptions'!$C$31:$AL$31,1,24-'Assumptions'!$D$11))</x:f>
        <x:v>5.040000000000001</x:v>
      </x:c>
      <x:c r="AA73" s="73" t="n">
        <x:f>IF(25&lt;='Assumptions'!$D$11,0,INDEX('Assumptions'!$C$21:$AL$21,1,25-'Assumptions'!$D$11)*INDEX('Assumptions'!$C$26:$AL$26,1,25-'Assumptions'!$D$11)*INDEX('Assumptions'!$C$31:$AL$31,1,25-'Assumptions'!$D$11))</x:f>
        <x:v>5.040000000000001</x:v>
      </x:c>
      <x:c r="AB73" s="73" t="n">
        <x:f>IF(26&lt;='Assumptions'!$D$11,0,INDEX('Assumptions'!$C$21:$AL$21,1,26-'Assumptions'!$D$11)*INDEX('Assumptions'!$C$26:$AL$26,1,26-'Assumptions'!$D$11)*INDEX('Assumptions'!$C$31:$AL$31,1,26-'Assumptions'!$D$11))</x:f>
        <x:v>5.040000000000001</x:v>
      </x:c>
      <x:c r="AC73" s="73" t="n">
        <x:f>IF(27&lt;='Assumptions'!$D$11,0,INDEX('Assumptions'!$C$21:$AL$21,1,27-'Assumptions'!$D$11)*INDEX('Assumptions'!$C$26:$AL$26,1,27-'Assumptions'!$D$11)*INDEX('Assumptions'!$C$31:$AL$31,1,27-'Assumptions'!$D$11))</x:f>
        <x:v>5.040000000000001</x:v>
      </x:c>
      <x:c r="AD73" s="73" t="n">
        <x:f>IF(28&lt;='Assumptions'!$D$11,0,INDEX('Assumptions'!$C$21:$AL$21,1,28-'Assumptions'!$D$11)*INDEX('Assumptions'!$C$26:$AL$26,1,28-'Assumptions'!$D$11)*INDEX('Assumptions'!$C$31:$AL$31,1,28-'Assumptions'!$D$11))</x:f>
        <x:v>5.040000000000001</x:v>
      </x:c>
      <x:c r="AE73" s="73" t="n">
        <x:f>IF(29&lt;='Assumptions'!$D$11,0,INDEX('Assumptions'!$C$21:$AL$21,1,29-'Assumptions'!$D$11)*INDEX('Assumptions'!$C$26:$AL$26,1,29-'Assumptions'!$D$11)*INDEX('Assumptions'!$C$31:$AL$31,1,29-'Assumptions'!$D$11))</x:f>
        <x:v>5.040000000000001</x:v>
      </x:c>
      <x:c r="AF73" s="73" t="n">
        <x:f>IF(30&lt;='Assumptions'!$D$11,0,INDEX('Assumptions'!$C$21:$AL$21,1,30-'Assumptions'!$D$11)*INDEX('Assumptions'!$C$26:$AL$26,1,30-'Assumptions'!$D$11)*INDEX('Assumptions'!$C$31:$AL$31,1,30-'Assumptions'!$D$11))</x:f>
        <x:v>5.040000000000001</x:v>
      </x:c>
      <x:c r="AG73" s="73" t="n">
        <x:f>IF(31&lt;='Assumptions'!$D$11,0,INDEX('Assumptions'!$C$21:$AL$21,1,31-'Assumptions'!$D$11)*INDEX('Assumptions'!$C$26:$AL$26,1,31-'Assumptions'!$D$11)*INDEX('Assumptions'!$C$31:$AL$31,1,31-'Assumptions'!$D$11))</x:f>
        <x:v>5.040000000000001</x:v>
      </x:c>
      <x:c r="AH73" s="73" t="n">
        <x:f>IF(32&lt;='Assumptions'!$D$11,0,INDEX('Assumptions'!$C$21:$AL$21,1,32-'Assumptions'!$D$11)*INDEX('Assumptions'!$C$26:$AL$26,1,32-'Assumptions'!$D$11)*INDEX('Assumptions'!$C$31:$AL$31,1,32-'Assumptions'!$D$11))</x:f>
        <x:v>5.040000000000001</x:v>
      </x:c>
      <x:c r="AI73" s="73" t="n">
        <x:f>IF(33&lt;='Assumptions'!$D$11,0,INDEX('Assumptions'!$C$21:$AL$21,1,33-'Assumptions'!$D$11)*INDEX('Assumptions'!$C$26:$AL$26,1,33-'Assumptions'!$D$11)*INDEX('Assumptions'!$C$31:$AL$31,1,33-'Assumptions'!$D$11))</x:f>
        <x:v>5.040000000000001</x:v>
      </x:c>
      <x:c r="AJ73" s="73" t="n">
        <x:f>IF(34&lt;='Assumptions'!$D$11,0,INDEX('Assumptions'!$C$21:$AL$21,1,34-'Assumptions'!$D$11)*INDEX('Assumptions'!$C$26:$AL$26,1,34-'Assumptions'!$D$11)*INDEX('Assumptions'!$C$31:$AL$31,1,34-'Assumptions'!$D$11))</x:f>
        <x:v>5.040000000000001</x:v>
      </x:c>
      <x:c r="AK73" s="73" t="n">
        <x:f>IF(35&lt;='Assumptions'!$D$11,0,INDEX('Assumptions'!$C$21:$AL$21,1,35-'Assumptions'!$D$11)*INDEX('Assumptions'!$C$26:$AL$26,1,35-'Assumptions'!$D$11)*INDEX('Assumptions'!$C$31:$AL$31,1,35-'Assumptions'!$D$11))</x:f>
        <x:v>5.040000000000001</x:v>
      </x:c>
      <x:c r="AL73" s="73" t="n">
        <x:f>IF(36&lt;='Assumptions'!$D$11,0,INDEX('Assumptions'!$C$21:$AL$21,1,36-'Assumptions'!$D$11)*INDEX('Assumptions'!$C$26:$AL$26,1,36-'Assumptions'!$D$11)*INDEX('Assumptions'!$C$31:$AL$31,1,36-'Assumptions'!$D$11))</x:f>
        <x:v>5.040000000000001</x:v>
      </x:c>
    </x:row>
    <x:row r="74">
      <x:c r="A74" s="14" t="str">
        <x:v>Churned Customers</x:v>
      </x:c>
      <x:c r="B74" s="14" t="str"/>
      <x:c r="C74" s="73" t="n">
        <x:f>C72*'Assumptions'!C36</x:f>
        <x:v>0.045</x:v>
      </x:c>
      <x:c r="D74" s="73" t="n">
        <x:f>D72*'Assumptions'!D36</x:f>
        <x:v>0.044324999999999996</x:v>
      </x:c>
      <x:c r="E74" s="73" t="n">
        <x:f>E72*'Assumptions'!E36</x:f>
        <x:v>0.043660124999999994</x:v>
      </x:c>
      <x:c r="F74" s="73" t="n">
        <x:f>F72*'Assumptions'!F36</x:f>
        <x:v>0.04300522312499999</x:v>
      </x:c>
      <x:c r="G74" s="73" t="n">
        <x:f>G72*'Assumptions'!G36</x:f>
        <x:v>0.117960144778125</x:v>
      </x:c>
      <x:c r="H74" s="73" t="n">
        <x:f>H72*'Assumptions'!H36</x:f>
        <x:v>0.19179074260645312</x:v>
      </x:c>
      <x:c r="I74" s="73" t="n">
        <x:f>I72*'Assumptions'!I36</x:f>
        <x:v>0.2645138814673563</x:v>
      </x:c>
      <x:c r="J74" s="73" t="n">
        <x:f>J72*'Assumptions'!J36</x:f>
        <x:v>0.336146173245346</x:v>
      </x:c>
      <x:c r="K74" s="73" t="n">
        <x:f>K72*'Assumptions'!K36</x:f>
        <x:v>0.40670398064666585</x:v>
      </x:c>
      <x:c r="L74" s="73" t="n">
        <x:f>L72*'Assumptions'!L36</x:f>
        <x:v>0.4762034209369659</x:v>
      </x:c>
      <x:c r="M74" s="73" t="n">
        <x:f>M72*'Assumptions'!M36</x:f>
        <x:v>0.5446603696229114</x:v>
      </x:c>
      <x:c r="N74" s="73" t="n">
        <x:f>N72*'Assumptions'!N36</x:f>
        <x:v>0.6120904640785677</x:v>
      </x:c>
      <x:c r="O74" s="73" t="n">
        <x:f>O72*'Assumptions'!O36</x:f>
        <x:v>0.6785091071173892</x:v>
      </x:c>
      <x:c r="P74" s="73" t="n">
        <x:f>P72*'Assumptions'!P36</x:f>
        <x:v>0.7439314705106282</x:v>
      </x:c>
      <x:c r="Q74" s="73" t="n">
        <x:f>Q72*'Assumptions'!Q36</x:f>
        <x:v>0.8083724984529688</x:v>
      </x:c>
      <x:c r="R74" s="73" t="n">
        <x:f>R72*'Assumptions'!R36</x:f>
        <x:v>0.8718469109761743</x:v>
      </x:c>
      <x:c r="S74" s="73" t="n">
        <x:f>S72*'Assumptions'!S36</x:f>
        <x:v>0.9343692073115316</x:v>
      </x:c>
      <x:c r="T74" s="73" t="n">
        <x:f>T72*'Assumptions'!T36</x:f>
        <x:v>0.9959536692018587</x:v>
      </x:c>
      <x:c r="U74" s="73" t="n">
        <x:f>U72*'Assumptions'!U36</x:f>
        <x:v>1.056614364163831</x:v>
      </x:c>
      <x:c r="V74" s="73" t="n">
        <x:f>V72*'Assumptions'!V36</x:f>
        <x:v>1.1163651487013735</x:v>
      </x:c>
      <x:c r="W74" s="73" t="n">
        <x:f>W72*'Assumptions'!W36</x:f>
        <x:v>1.175219671470853</x:v>
      </x:c>
      <x:c r="X74" s="73" t="n">
        <x:f>X72*'Assumptions'!X36</x:f>
        <x:v>1.2331913763987903</x:v>
      </x:c>
      <x:c r="Y74" s="73" t="n">
        <x:f>Y72*'Assumptions'!Y36</x:f>
        <x:v>1.2902935057528084</x:v>
      </x:c>
      <x:c r="Z74" s="73" t="n">
        <x:f>Z72*'Assumptions'!Z36</x:f>
        <x:v>1.3465391031665164</x:v>
      </x:c>
      <x:c r="AA74" s="73" t="n">
        <x:f>AA72*'Assumptions'!AA36</x:f>
        <x:v>1.4019410166190187</x:v>
      </x:c>
      <x:c r="AB74" s="73" t="n">
        <x:f>AB72*'Assumptions'!AB36</x:f>
        <x:v>1.4565119013697334</x:v>
      </x:c>
      <x:c r="AC74" s="73" t="n">
        <x:f>AC72*'Assumptions'!AC36</x:f>
        <x:v>1.5102642228491874</x:v>
      </x:c>
      <x:c r="AD74" s="73" t="n">
        <x:f>AD72*'Assumptions'!AD36</x:f>
        <x:v>1.5632102595064497</x:v>
      </x:c>
      <x:c r="AE74" s="73" t="n">
        <x:f>AE72*'Assumptions'!AE36</x:f>
        <x:v>1.6153621056138532</x:v>
      </x:c>
      <x:c r="AF74" s="73" t="n">
        <x:f>AF72*'Assumptions'!AF36</x:f>
        <x:v>1.6667316740296454</x:v>
      </x:c>
      <x:c r="AG74" s="73" t="n">
        <x:f>AG72*'Assumptions'!AG36</x:f>
        <x:v>1.7173306989192008</x:v>
      </x:c>
      <x:c r="AH74" s="73" t="n">
        <x:f>AH72*'Assumptions'!AH36</x:f>
        <x:v>1.767170738435413</x:v>
      </x:c>
      <x:c r="AI74" s="73" t="n">
        <x:f>AI72*'Assumptions'!AI36</x:f>
        <x:v>1.8162631773588818</x:v>
      </x:c>
      <x:c r="AJ74" s="73" t="n">
        <x:f>AJ72*'Assumptions'!AJ36</x:f>
        <x:v>1.8646192296984987</x:v>
      </x:c>
      <x:c r="AK74" s="73" t="n">
        <x:f>AK72*'Assumptions'!AK36</x:f>
        <x:v>1.912249941253021</x:v>
      </x:c>
      <x:c r="AL74" s="73" t="n">
        <x:f>AL72*'Assumptions'!AL36</x:f>
        <x:v>1.959166192134226</x:v>
      </x:c>
    </x:row>
    <x:row r="75">
      <x:c r="A75" s="14" t="str">
        <x:v>Ending Customers</x:v>
      </x:c>
      <x:c r="B75" s="14" t="str"/>
      <x:c r="C75" s="73" t="n">
        <x:f>MAX(0,C72+C73-C74)</x:f>
        <x:v>2.955</x:v>
      </x:c>
      <x:c r="D75" s="73" t="n">
        <x:f>MAX(0,D72+D73-D74)</x:f>
        <x:v>2.910675</x:v>
      </x:c>
      <x:c r="E75" s="73" t="n">
        <x:f>MAX(0,E72+E73-E74)</x:f>
        <x:v>2.8670148749999997</x:v>
      </x:c>
      <x:c r="F75" s="73" t="n">
        <x:f>MAX(0,F72+F73-F74)</x:f>
        <x:v>7.8640096518750005</x:v>
      </x:c>
      <x:c r="G75" s="73" t="n">
        <x:f>MAX(0,G72+G73-G74)</x:f>
        <x:v>12.786049507096875</x:v>
      </x:c>
      <x:c r="H75" s="73" t="n">
        <x:f>MAX(0,H72+H73-H74)</x:f>
        <x:v>17.634258764490422</x:v>
      </x:c>
      <x:c r="I75" s="73" t="n">
        <x:f>MAX(0,I72+I73-I74)</x:f>
        <x:v>22.40974488302307</x:v>
      </x:c>
      <x:c r="J75" s="73" t="n">
        <x:f>MAX(0,J72+J73-J74)</x:f>
        <x:v>27.113598709777726</x:v>
      </x:c>
      <x:c r="K75" s="73" t="n">
        <x:f>MAX(0,K72+K73-K74)</x:f>
        <x:v>31.74689472913106</x:v>
      </x:c>
      <x:c r="L75" s="73" t="n">
        <x:f>MAX(0,L72+L73-L74)</x:f>
        <x:v>36.310691308194095</x:v>
      </x:c>
      <x:c r="M75" s="73" t="n">
        <x:f>MAX(0,M72+M73-M74)</x:f>
        <x:v>40.80603093857118</x:v>
      </x:c>
      <x:c r="N75" s="73" t="n">
        <x:f>MAX(0,N72+N73-N74)</x:f>
        <x:v>45.23394047449261</x:v>
      </x:c>
      <x:c r="O75" s="73" t="n">
        <x:f>MAX(0,O72+O73-O74)</x:f>
        <x:v>49.59543136737522</x:v>
      </x:c>
      <x:c r="P75" s="73" t="n">
        <x:f>MAX(0,P72+P73-P74)</x:f>
        <x:v>53.89149989686459</x:v>
      </x:c>
      <x:c r="Q75" s="73" t="n">
        <x:f>MAX(0,Q72+Q73-Q74)</x:f>
        <x:v>58.12312739841162</x:v>
      </x:c>
      <x:c r="R75" s="73" t="n">
        <x:f>MAX(0,R72+R73-R74)</x:f>
        <x:v>62.29128048743544</x:v>
      </x:c>
      <x:c r="S75" s="73" t="n">
        <x:f>MAX(0,S72+S73-S74)</x:f>
        <x:v>66.39691128012392</x:v>
      </x:c>
      <x:c r="T75" s="73" t="n">
        <x:f>MAX(0,T72+T73-T74)</x:f>
        <x:v>70.44095761092207</x:v>
      </x:c>
      <x:c r="U75" s="73" t="n">
        <x:f>MAX(0,U72+U73-U74)</x:f>
        <x:v>74.42434324675824</x:v>
      </x:c>
      <x:c r="V75" s="73" t="n">
        <x:f>MAX(0,V72+V73-V74)</x:f>
        <x:v>78.34797809805687</x:v>
      </x:c>
      <x:c r="W75" s="73" t="n">
        <x:f>MAX(0,W72+W73-W74)</x:f>
        <x:v>82.21275842658602</x:v>
      </x:c>
      <x:c r="X75" s="73" t="n">
        <x:f>MAX(0,X72+X73-X74)</x:f>
        <x:v>86.01956705018723</x:v>
      </x:c>
      <x:c r="Y75" s="73" t="n">
        <x:f>MAX(0,Y72+Y73-Y74)</x:f>
        <x:v>89.76927354443443</x:v>
      </x:c>
      <x:c r="Z75" s="73" t="n">
        <x:f>MAX(0,Z72+Z73-Z74)</x:f>
        <x:v>93.46273444126791</x:v>
      </x:c>
      <x:c r="AA75" s="73" t="n">
        <x:f>MAX(0,AA72+AA73-AA74)</x:f>
        <x:v>97.1007934246489</x:v>
      </x:c>
      <x:c r="AB75" s="73" t="n">
        <x:f>MAX(0,AB72+AB73-AB74)</x:f>
        <x:v>100.68428152327917</x:v>
      </x:c>
      <x:c r="AC75" s="73" t="n">
        <x:f>MAX(0,AC72+AC73-AC74)</x:f>
        <x:v>104.21401730042999</x:v>
      </x:c>
      <x:c r="AD75" s="73" t="n">
        <x:f>MAX(0,AD72+AD73-AD74)</x:f>
        <x:v>107.69080704092354</x:v>
      </x:c>
      <x:c r="AE75" s="73" t="n">
        <x:f>MAX(0,AE72+AE73-AE74)</x:f>
        <x:v>111.1154449353097</x:v>
      </x:c>
      <x:c r="AF75" s="73" t="n">
        <x:f>MAX(0,AF72+AF73-AF74)</x:f>
        <x:v>114.48871326128005</x:v>
      </x:c>
      <x:c r="AG75" s="73" t="n">
        <x:f>MAX(0,AG72+AG73-AG74)</x:f>
        <x:v>117.81138256236086</x:v>
      </x:c>
      <x:c r="AH75" s="73" t="n">
        <x:f>MAX(0,AH72+AH73-AH74)</x:f>
        <x:v>121.08421182392546</x:v>
      </x:c>
      <x:c r="AI75" s="73" t="n">
        <x:f>MAX(0,AI72+AI73-AI74)</x:f>
        <x:v>124.30794864656659</x:v>
      </x:c>
      <x:c r="AJ75" s="73" t="n">
        <x:f>MAX(0,AJ72+AJ73-AJ74)</x:f>
        <x:v>127.48332941686807</x:v>
      </x:c>
      <x:c r="AK75" s="73" t="n">
        <x:f>MAX(0,AK72+AK73-AK74)</x:f>
        <x:v>130.61107947561507</x:v>
      </x:c>
      <x:c r="AL75" s="73" t="n">
        <x:f>MAX(0,AL72+AL73-AL74)</x:f>
        <x:v>133.69191328348083</x:v>
      </x:c>
    </x:row>
    <x:row r="76">
      <x:c r="A76" s="14" t="str">
        <x:v>Revenue</x:v>
      </x:c>
      <x:c r="B76" s="14" t="str"/>
      <x:c r="C76" s="76" t="n">
        <x:f>C75*('Assumptions'!C41+'Assumptions'!C46*'Assumptions'!C51+'Assumptions'!C56)</x:f>
        <x:v>44325000</x:v>
      </x:c>
      <x:c r="D76" s="76" t="n">
        <x:f>D75*('Assumptions'!D41+'Assumptions'!D46*'Assumptions'!D51+'Assumptions'!D56)</x:f>
        <x:v>43660125</x:v>
      </x:c>
      <x:c r="E76" s="76" t="n">
        <x:f>E75*('Assumptions'!E41+'Assumptions'!E46*'Assumptions'!E51+'Assumptions'!E56)</x:f>
        <x:v>43005223.12499999</x:v>
      </x:c>
      <x:c r="F76" s="76" t="n">
        <x:f>F75*('Assumptions'!F41+'Assumptions'!F46*'Assumptions'!F51+'Assumptions'!F56)</x:f>
        <x:v>117960144.778125</x:v>
      </x:c>
      <x:c r="G76" s="76" t="n">
        <x:f>G75*('Assumptions'!G41+'Assumptions'!G46*'Assumptions'!G51+'Assumptions'!G56)</x:f>
        <x:v>191790742.60645312</x:v>
      </x:c>
      <x:c r="H76" s="76" t="n">
        <x:f>H75*('Assumptions'!H41+'Assumptions'!H46*'Assumptions'!H51+'Assumptions'!H56)</x:f>
        <x:v>264513881.46735632</x:v>
      </x:c>
      <x:c r="I76" s="76" t="n">
        <x:f>I75*('Assumptions'!I41+'Assumptions'!I46*'Assumptions'!I51+'Assumptions'!I56)</x:f>
        <x:v>336146173.24534607</x:v>
      </x:c>
      <x:c r="J76" s="76" t="n">
        <x:f>J75*('Assumptions'!J41+'Assumptions'!J46*'Assumptions'!J51+'Assumptions'!J56)</x:f>
        <x:v>406703980.6466659</x:v>
      </x:c>
      <x:c r="K76" s="76" t="n">
        <x:f>K75*('Assumptions'!K41+'Assumptions'!K46*'Assumptions'!K51+'Assumptions'!K56)</x:f>
        <x:v>476203420.9369659</x:v>
      </x:c>
      <x:c r="L76" s="76" t="n">
        <x:f>L75*('Assumptions'!L41+'Assumptions'!L46*'Assumptions'!L51+'Assumptions'!L56)</x:f>
        <x:v>544660369.6229115</x:v>
      </x:c>
      <x:c r="M76" s="76" t="n">
        <x:f>M75*('Assumptions'!M41+'Assumptions'!M46*'Assumptions'!M51+'Assumptions'!M56)</x:f>
        <x:v>612090464.0785677</x:v>
      </x:c>
      <x:c r="N76" s="76" t="n">
        <x:f>N75*('Assumptions'!N41+'Assumptions'!N46*'Assumptions'!N51+'Assumptions'!N56)</x:f>
        <x:v>678509107.1173892</x:v>
      </x:c>
      <x:c r="O76" s="76" t="n">
        <x:f>O75*('Assumptions'!O41+'Assumptions'!O46*'Assumptions'!O51+'Assumptions'!O56)</x:f>
        <x:v>743931470.5106283</x:v>
      </x:c>
      <x:c r="P76" s="76" t="n">
        <x:f>P75*('Assumptions'!P41+'Assumptions'!P46*'Assumptions'!P51+'Assumptions'!P56)</x:f>
        <x:v>808372498.4529688</x:v>
      </x:c>
      <x:c r="Q76" s="76" t="n">
        <x:f>Q75*('Assumptions'!Q41+'Assumptions'!Q46*'Assumptions'!Q51+'Assumptions'!Q56)</x:f>
        <x:v>871846910.9761742</x:v>
      </x:c>
      <x:c r="R76" s="76" t="n">
        <x:f>R75*('Assumptions'!R41+'Assumptions'!R46*'Assumptions'!R51+'Assumptions'!R56)</x:f>
        <x:v>934369207.3115317</x:v>
      </x:c>
      <x:c r="S76" s="76" t="n">
        <x:f>S75*('Assumptions'!S41+'Assumptions'!S46*'Assumptions'!S51+'Assumptions'!S56)</x:f>
        <x:v>995953669.2018588</x:v>
      </x:c>
      <x:c r="T76" s="76" t="n">
        <x:f>T75*('Assumptions'!T41+'Assumptions'!T46*'Assumptions'!T51+'Assumptions'!T56)</x:f>
        <x:v>1056614364.163831</x:v>
      </x:c>
      <x:c r="U76" s="76" t="n">
        <x:f>U75*('Assumptions'!U41+'Assumptions'!U46*'Assumptions'!U51+'Assumptions'!U56)</x:f>
        <x:v>1116365148.7013736</x:v>
      </x:c>
      <x:c r="V76" s="76" t="n">
        <x:f>V75*('Assumptions'!V41+'Assumptions'!V46*'Assumptions'!V51+'Assumptions'!V56)</x:f>
        <x:v>1175219671.470853</x:v>
      </x:c>
      <x:c r="W76" s="76" t="n">
        <x:f>W75*('Assumptions'!W41+'Assumptions'!W46*'Assumptions'!W51+'Assumptions'!W56)</x:f>
        <x:v>1233191376.3987904</x:v>
      </x:c>
      <x:c r="X76" s="76" t="n">
        <x:f>X75*('Assumptions'!X41+'Assumptions'!X46*'Assumptions'!X51+'Assumptions'!X56)</x:f>
        <x:v>1290293505.7528086</x:v>
      </x:c>
      <x:c r="Y76" s="76" t="n">
        <x:f>Y75*('Assumptions'!Y41+'Assumptions'!Y46*'Assumptions'!Y51+'Assumptions'!Y56)</x:f>
        <x:v>1346539103.1665163</x:v>
      </x:c>
      <x:c r="Z76" s="76" t="n">
        <x:f>Z75*('Assumptions'!Z41+'Assumptions'!Z46*'Assumptions'!Z51+'Assumptions'!Z56)</x:f>
        <x:v>1401941016.6190188</x:v>
      </x:c>
      <x:c r="AA76" s="76" t="n">
        <x:f>AA75*('Assumptions'!AA41+'Assumptions'!AA46*'Assumptions'!AA51+'Assumptions'!AA56)</x:f>
        <x:v>1456511901.3697336</x:v>
      </x:c>
      <x:c r="AB76" s="76" t="n">
        <x:f>AB75*('Assumptions'!AB41+'Assumptions'!AB46*'Assumptions'!AB51+'Assumptions'!AB56)</x:f>
        <x:v>1510264222.8491876</x:v>
      </x:c>
      <x:c r="AC76" s="76" t="n">
        <x:f>AC75*('Assumptions'!AC41+'Assumptions'!AC46*'Assumptions'!AC51+'Assumptions'!AC56)</x:f>
        <x:v>1563210259.5064497</x:v>
      </x:c>
      <x:c r="AD76" s="76" t="n">
        <x:f>AD75*('Assumptions'!AD41+'Assumptions'!AD46*'Assumptions'!AD51+'Assumptions'!AD56)</x:f>
        <x:v>1615362105.6138532</x:v>
      </x:c>
      <x:c r="AE76" s="76" t="n">
        <x:f>AE75*('Assumptions'!AE41+'Assumptions'!AE46*'Assumptions'!AE51+'Assumptions'!AE56)</x:f>
        <x:v>1666731674.0296454</x:v>
      </x:c>
      <x:c r="AF76" s="76" t="n">
        <x:f>AF75*('Assumptions'!AF41+'Assumptions'!AF46*'Assumptions'!AF51+'Assumptions'!AF56)</x:f>
        <x:v>1717330698.919201</x:v>
      </x:c>
      <x:c r="AG76" s="76" t="n">
        <x:f>AG75*('Assumptions'!AG41+'Assumptions'!AG46*'Assumptions'!AG51+'Assumptions'!AG56)</x:f>
        <x:v>1767170738.435413</x:v>
      </x:c>
      <x:c r="AH76" s="76" t="n">
        <x:f>AH75*('Assumptions'!AH41+'Assumptions'!AH46*'Assumptions'!AH51+'Assumptions'!AH56)</x:f>
        <x:v>1816263177.358882</x:v>
      </x:c>
      <x:c r="AI76" s="76" t="n">
        <x:f>AI75*('Assumptions'!AI41+'Assumptions'!AI46*'Assumptions'!AI51+'Assumptions'!AI56)</x:f>
        <x:v>1864619229.6984987</x:v>
      </x:c>
      <x:c r="AJ76" s="76" t="n">
        <x:f>AJ75*('Assumptions'!AJ41+'Assumptions'!AJ46*'Assumptions'!AJ51+'Assumptions'!AJ56)</x:f>
        <x:v>1912249941.253021</x:v>
      </x:c>
      <x:c r="AK76" s="76" t="n">
        <x:f>AK75*('Assumptions'!AK41+'Assumptions'!AK46*'Assumptions'!AK51+'Assumptions'!AK56)</x:f>
        <x:v>1959166192.134226</x:v>
      </x:c>
      <x:c r="AL76" s="76" t="n">
        <x:f>AL75*('Assumptions'!AL41+'Assumptions'!AL46*'Assumptions'!AL51+'Assumptions'!AL56)</x:f>
        <x:v>2005378699.2522125</x:v>
      </x:c>
    </x:row>
    <x:row r="77">
      <x:c r="A77" s="14" t="str">
        <x:v>COGS</x:v>
      </x:c>
      <x:c r="B77" s="14" t="str"/>
      <x:c r="C77" s="76" t="n">
        <x:f>C75*'Assumptions'!C46*'Assumptions'!C61/1000000*'Assumptions'!$D$13*'Assumptions'!$D$12+C75*'Assumptions'!C46*'Assumptions'!C66/1000000*'Assumptions'!$D$14*'Assumptions'!$D$12+C75*'Assumptions'!C46*'Assumptions'!C71+C75*'Assumptions'!C46*'Assumptions'!C76+C76*'Assumptions'!$D$15</x:f>
        <x:v>3830927.01</x:v>
      </x:c>
      <x:c r="D77" s="76" t="n">
        <x:f>D75*'Assumptions'!D46*'Assumptions'!D61/1000000*'Assumptions'!$D$13*'Assumptions'!$D$12+D75*'Assumptions'!D46*'Assumptions'!D66/1000000*'Assumptions'!$D$14*'Assumptions'!$D$12+D75*'Assumptions'!D46*'Assumptions'!D71+D75*'Assumptions'!D46*'Assumptions'!D76+D76*'Assumptions'!$D$15</x:f>
        <x:v>3773463.10485</x:v>
      </x:c>
      <x:c r="E77" s="76" t="n">
        <x:f>E75*'Assumptions'!E46*'Assumptions'!E61/1000000*'Assumptions'!$D$13*'Assumptions'!$D$12+E75*'Assumptions'!E46*'Assumptions'!E66/1000000*'Assumptions'!$D$14*'Assumptions'!$D$12+E75*'Assumptions'!E46*'Assumptions'!E71+E75*'Assumptions'!E46*'Assumptions'!E76+E76*'Assumptions'!$D$15</x:f>
        <x:v>3716861.15827725</x:v>
      </x:c>
      <x:c r="F77" s="76" t="n">
        <x:f>F75*'Assumptions'!F46*'Assumptions'!F61/1000000*'Assumptions'!$D$13*'Assumptions'!$D$12+F75*'Assumptions'!F46*'Assumptions'!F66/1000000*'Assumptions'!$D$14*'Assumptions'!$D$12+F75*'Assumptions'!F46*'Assumptions'!F71+F75*'Assumptions'!F46*'Assumptions'!F76+F76*'Assumptions'!$D$15</x:f>
        <x:v>10195075.120903092</x:v>
      </x:c>
      <x:c r="G77" s="76" t="n">
        <x:f>G75*'Assumptions'!G46*'Assumptions'!G61/1000000*'Assumptions'!$D$13*'Assumptions'!$D$12+G75*'Assumptions'!G46*'Assumptions'!G66/1000000*'Assumptions'!$D$14*'Assumptions'!$D$12+G75*'Assumptions'!G46*'Assumptions'!G71+G75*'Assumptions'!G46*'Assumptions'!G76+G76*'Assumptions'!$D$15</x:f>
        <x:v>16576115.874089545</x:v>
      </x:c>
      <x:c r="H77" s="76" t="n">
        <x:f>H75*'Assumptions'!H46*'Assumptions'!H61/1000000*'Assumptions'!$D$13*'Assumptions'!$D$12+H75*'Assumptions'!H46*'Assumptions'!H66/1000000*'Assumptions'!$D$14*'Assumptions'!$D$12+H75*'Assumptions'!H46*'Assumptions'!H71+H75*'Assumptions'!H46*'Assumptions'!H76+H76*'Assumptions'!$D$15</x:f>
        <x:v>22861441.015978202</x:v>
      </x:c>
      <x:c r="I77" s="76" t="n">
        <x:f>I75*'Assumptions'!I46*'Assumptions'!I61/1000000*'Assumptions'!$D$13*'Assumptions'!$D$12+I75*'Assumptions'!I46*'Assumptions'!I66/1000000*'Assumptions'!$D$14*'Assumptions'!$D$12+I75*'Assumptions'!I46*'Assumptions'!I71+I75*'Assumptions'!I46*'Assumptions'!I76+I76*'Assumptions'!$D$15</x:f>
        <x:v>29052486.280738533</x:v>
      </x:c>
      <x:c r="J77" s="76" t="n">
        <x:f>J75*'Assumptions'!J46*'Assumptions'!J61/1000000*'Assumptions'!$D$13*'Assumptions'!$D$12+J75*'Assumptions'!J46*'Assumptions'!J66/1000000*'Assumptions'!$D$14*'Assumptions'!$D$12+J75*'Assumptions'!J46*'Assumptions'!J71+J75*'Assumptions'!J46*'Assumptions'!J76+J76*'Assumptions'!$D$15</x:f>
        <x:v>35150665.86652746</x:v>
      </x:c>
      <x:c r="K77" s="76" t="n">
        <x:f>K75*'Assumptions'!K46*'Assumptions'!K61/1000000*'Assumptions'!$D$13*'Assumptions'!$D$12+K75*'Assumptions'!K46*'Assumptions'!K66/1000000*'Assumptions'!$D$14*'Assumptions'!$D$12+K75*'Assumptions'!K46*'Assumptions'!K71+K75*'Assumptions'!K46*'Assumptions'!K76+K76*'Assumptions'!$D$15</x:f>
        <x:v>41157372.758529544</x:v>
      </x:c>
      <x:c r="L77" s="76" t="n">
        <x:f>L75*'Assumptions'!L46*'Assumptions'!L61/1000000*'Assumptions'!$D$13*'Assumptions'!$D$12+L75*'Assumptions'!L46*'Assumptions'!L66/1000000*'Assumptions'!$D$14*'Assumptions'!$D$12+L75*'Assumptions'!L46*'Assumptions'!L71+L75*'Assumptions'!L46*'Assumptions'!L76+L76*'Assumptions'!$D$15</x:f>
        <x:v>47073979.04715161</x:v>
      </x:c>
      <x:c r="M77" s="76" t="n">
        <x:f>M75*'Assumptions'!M46*'Assumptions'!M61/1000000*'Assumptions'!$D$13*'Assumptions'!$D$12+M75*'Assumptions'!M46*'Assumptions'!M66/1000000*'Assumptions'!$D$14*'Assumptions'!$D$12+M75*'Assumptions'!M46*'Assumptions'!M71+M75*'Assumptions'!M46*'Assumptions'!M76+M76*'Assumptions'!$D$15</x:f>
        <x:v>52901836.241444334</x:v>
      </x:c>
      <x:c r="N77" s="76" t="n">
        <x:f>N75*'Assumptions'!N46*'Assumptions'!N61/1000000*'Assumptions'!$D$13*'Assumptions'!$D$12+N75*'Assumptions'!N46*'Assumptions'!N66/1000000*'Assumptions'!$D$14*'Assumptions'!$D$12+N75*'Assumptions'!N46*'Assumptions'!N71+N75*'Assumptions'!N46*'Assumptions'!N76+N76*'Assumptions'!$D$15</x:f>
        <x:v>58642275.57782266</x:v>
      </x:c>
      <x:c r="O77" s="76" t="n">
        <x:f>O75*'Assumptions'!O46*'Assumptions'!O61/1000000*'Assumptions'!$D$13*'Assumptions'!$D$12+O75*'Assumptions'!O46*'Assumptions'!O66/1000000*'Assumptions'!$D$14*'Assumptions'!$D$12+O75*'Assumptions'!O46*'Assumptions'!O71+O75*'Assumptions'!O46*'Assumptions'!O76+O76*'Assumptions'!$D$15</x:f>
        <x:v>64296608.324155316</x:v>
      </x:c>
      <x:c r="P77" s="76" t="n">
        <x:f>P75*'Assumptions'!P46*'Assumptions'!P61/1000000*'Assumptions'!$D$13*'Assumptions'!$D$12+P75*'Assumptions'!P46*'Assumptions'!P66/1000000*'Assumptions'!$D$14*'Assumptions'!$D$12+P75*'Assumptions'!P46*'Assumptions'!P71+P75*'Assumptions'!P46*'Assumptions'!P76+P76*'Assumptions'!$D$15</x:f>
        <x:v>69866126.07929298</x:v>
      </x:c>
      <x:c r="Q77" s="76" t="n">
        <x:f>Q75*'Assumptions'!Q46*'Assumptions'!Q61/1000000*'Assumptions'!$D$13*'Assumptions'!$D$12+Q75*'Assumptions'!Q46*'Assumptions'!Q66/1000000*'Assumptions'!$D$14*'Assumptions'!$D$12+Q75*'Assumptions'!Q46*'Assumptions'!Q71+Q75*'Assumptions'!Q46*'Assumptions'!Q76+Q76*'Assumptions'!$D$15</x:f>
        <x:v>75352101.0681036</x:v>
      </x:c>
      <x:c r="R77" s="76" t="n">
        <x:f>R75*'Assumptions'!R46*'Assumptions'!R61/1000000*'Assumptions'!$D$13*'Assumptions'!$D$12+R75*'Assumptions'!R46*'Assumptions'!R66/1000000*'Assumptions'!$D$14*'Assumptions'!$D$12+R75*'Assumptions'!R46*'Assumptions'!R71+R75*'Assumptions'!R46*'Assumptions'!R76+R76*'Assumptions'!$D$15</x:f>
        <x:v>80755786.43208203</x:v>
      </x:c>
      <x:c r="S77" s="76" t="n">
        <x:f>S75*'Assumptions'!S46*'Assumptions'!S61/1000000*'Assumptions'!$D$13*'Assumptions'!$D$12+S75*'Assumptions'!S46*'Assumptions'!S66/1000000*'Assumptions'!$D$14*'Assumptions'!$D$12+S75*'Assumptions'!S46*'Assumptions'!S71+S75*'Assumptions'!S46*'Assumptions'!S76+S76*'Assumptions'!$D$15</x:f>
        <x:v>86078416.5156008</x:v>
      </x:c>
      <x:c r="T77" s="76" t="n">
        <x:f>T75*'Assumptions'!T46*'Assumptions'!T61/1000000*'Assumptions'!$D$13*'Assumptions'!$D$12+T75*'Assumptions'!T46*'Assumptions'!T66/1000000*'Assumptions'!$D$14*'Assumptions'!$D$12+T75*'Assumptions'!T46*'Assumptions'!T71+T75*'Assumptions'!T46*'Assumptions'!T76+T76*'Assumptions'!$D$15</x:f>
        <x:v>91321207.14786682</x:v>
      </x:c>
      <x:c r="U77" s="76" t="n">
        <x:f>U75*'Assumptions'!U46*'Assumptions'!U61/1000000*'Assumptions'!$D$13*'Assumptions'!$D$12+U75*'Assumptions'!U46*'Assumptions'!U66/1000000*'Assumptions'!$D$14*'Assumptions'!$D$12+U75*'Assumptions'!U46*'Assumptions'!U71+U75*'Assumptions'!U46*'Assumptions'!U76+U76*'Assumptions'!$D$15</x:f>
        <x:v>96485355.92064881</x:v>
      </x:c>
      <x:c r="V77" s="76" t="n">
        <x:f>V75*'Assumptions'!V46*'Assumptions'!V61/1000000*'Assumptions'!$D$13*'Assumptions'!$D$12+V75*'Assumptions'!V46*'Assumptions'!V66/1000000*'Assumptions'!$D$14*'Assumptions'!$D$12+V75*'Assumptions'!V46*'Assumptions'!V71+V75*'Assumptions'!V46*'Assumptions'!V76+V76*'Assumptions'!$D$15</x:f>
        <x:v>101572042.46183908</x:v>
      </x:c>
      <x:c r="W77" s="76" t="n">
        <x:f>W75*'Assumptions'!W46*'Assumptions'!W61/1000000*'Assumptions'!$D$13*'Assumptions'!$D$12+W75*'Assumptions'!W46*'Assumptions'!W66/1000000*'Assumptions'!$D$14*'Assumptions'!$D$12+W75*'Assumptions'!W46*'Assumptions'!W71+W75*'Assumptions'!W46*'Assumptions'!W76+W76*'Assumptions'!$D$15</x:f>
        <x:v>106582428.7049115</x:v>
      </x:c>
      <x:c r="X77" s="76" t="n">
        <x:f>X75*'Assumptions'!X46*'Assumptions'!X61/1000000*'Assumptions'!$D$13*'Assumptions'!$D$12+X75*'Assumptions'!X46*'Assumptions'!X66/1000000*'Assumptions'!$D$14*'Assumptions'!$D$12+X75*'Assumptions'!X46*'Assumptions'!X71+X75*'Assumptions'!X46*'Assumptions'!X76+X76*'Assumptions'!$D$15</x:f>
        <x:v>111517659.15433784</x:v>
      </x:c>
      <x:c r="Y77" s="76" t="n">
        <x:f>Y75*'Assumptions'!Y46*'Assumptions'!Y61/1000000*'Assumptions'!$D$13*'Assumptions'!$D$12+Y75*'Assumptions'!Y46*'Assumptions'!Y66/1000000*'Assumptions'!$D$14*'Assumptions'!$D$12+Y75*'Assumptions'!Y46*'Assumptions'!Y71+Y75*'Assumptions'!Y46*'Assumptions'!Y76+Y76*'Assumptions'!$D$15</x:f>
        <x:v>116378861.14702275</x:v>
      </x:c>
      <x:c r="Z77" s="76" t="n">
        <x:f>Z75*'Assumptions'!Z46*'Assumptions'!Z61/1000000*'Assumptions'!$D$13*'Assumptions'!$D$12+Z75*'Assumptions'!Z46*'Assumptions'!Z66/1000000*'Assumptions'!$D$14*'Assumptions'!$D$12+Z75*'Assumptions'!Z46*'Assumptions'!Z71+Z75*'Assumptions'!Z46*'Assumptions'!Z76+Z76*'Assumptions'!$D$15</x:f>
        <x:v>121167145.10981745</x:v>
      </x:c>
      <x:c r="AA77" s="76" t="n">
        <x:f>AA75*'Assumptions'!AA46*'Assumptions'!AA61/1000000*'Assumptions'!$D$13*'Assumptions'!$D$12+AA75*'Assumptions'!AA46*'Assumptions'!AA66/1000000*'Assumptions'!$D$14*'Assumptions'!$D$12+AA75*'Assumptions'!AA46*'Assumptions'!AA71+AA75*'Assumptions'!AA46*'Assumptions'!AA76+AA76*'Assumptions'!$D$15</x:f>
        <x:v>125883604.81317016</x:v>
      </x:c>
      <x:c r="AB77" s="76" t="n">
        <x:f>AB75*'Assumptions'!AB46*'Assumptions'!AB61/1000000*'Assumptions'!$D$13*'Assumptions'!$D$12+AB75*'Assumptions'!AB46*'Assumptions'!AB66/1000000*'Assumptions'!$D$14*'Assumptions'!$D$12+AB75*'Assumptions'!AB46*'Assumptions'!AB71+AB75*'Assumptions'!AB46*'Assumptions'!AB76+AB76*'Assumptions'!$D$15</x:f>
        <x:v>130529317.62097263</x:v>
      </x:c>
      <x:c r="AC77" s="76" t="n">
        <x:f>AC75*'Assumptions'!AC46*'Assumptions'!AC61/1000000*'Assumptions'!$D$13*'Assumptions'!$D$12+AC75*'Assumptions'!AC46*'Assumptions'!AC66/1000000*'Assumptions'!$D$14*'Assumptions'!$D$12+AC75*'Assumptions'!AC46*'Assumptions'!AC71+AC75*'Assumptions'!AC46*'Assumptions'!AC76+AC76*'Assumptions'!$D$15</x:f>
        <x:v>135105344.73665804</x:v>
      </x:c>
      <x:c r="AD77" s="76" t="n">
        <x:f>AD75*'Assumptions'!AD46*'Assumptions'!AD61/1000000*'Assumptions'!$D$13*'Assumptions'!$D$12+AD75*'Assumptions'!AD46*'Assumptions'!AD66/1000000*'Assumptions'!$D$14*'Assumptions'!$D$12+AD75*'Assumptions'!AD46*'Assumptions'!AD71+AD75*'Assumptions'!AD46*'Assumptions'!AD76+AD76*'Assumptions'!$D$15</x:f>
        <x:v>139612731.4456082</x:v>
      </x:c>
      <x:c r="AE77" s="76" t="n">
        <x:f>AE75*'Assumptions'!AE46*'Assumptions'!AE61/1000000*'Assumptions'!$D$13*'Assumptions'!$D$12+AE75*'Assumptions'!AE46*'Assumptions'!AE66/1000000*'Assumptions'!$D$14*'Assumptions'!$D$12+AE75*'Assumptions'!AE46*'Assumptions'!AE71+AE75*'Assumptions'!AE46*'Assumptions'!AE76+AE76*'Assumptions'!$D$15</x:f>
        <x:v>144052507.35392407</x:v>
      </x:c>
      <x:c r="AF77" s="76" t="n">
        <x:f>AF75*'Assumptions'!AF46*'Assumptions'!AF61/1000000*'Assumptions'!$D$13*'Assumptions'!$D$12+AF75*'Assumptions'!AF46*'Assumptions'!AF66/1000000*'Assumptions'!$D$14*'Assumptions'!$D$12+AF75*'Assumptions'!AF46*'Assumptions'!AF71+AF75*'Assumptions'!AF46*'Assumptions'!AF76+AF76*'Assumptions'!$D$15</x:f>
        <x:v>148425686.6236152</x:v>
      </x:c>
      <x:c r="AG77" s="76" t="n">
        <x:f>AG75*'Assumptions'!AG46*'Assumptions'!AG61/1000000*'Assumptions'!$D$13*'Assumptions'!$D$12+AG75*'Assumptions'!AG46*'Assumptions'!AG66/1000000*'Assumptions'!$D$14*'Assumptions'!$D$12+AG75*'Assumptions'!AG46*'Assumptions'!AG71+AG75*'Assumptions'!AG46*'Assumptions'!AG76+AG76*'Assumptions'!$D$15</x:f>
        <x:v>152733268.204261</x:v>
      </x:c>
      <x:c r="AH77" s="76" t="n">
        <x:f>AH75*'Assumptions'!AH46*'Assumptions'!AH61/1000000*'Assumptions'!$D$13*'Assumptions'!$D$12+AH75*'Assumptions'!AH46*'Assumptions'!AH66/1000000*'Assumptions'!$D$14*'Assumptions'!$D$12+AH75*'Assumptions'!AH46*'Assumptions'!AH71+AH75*'Assumptions'!AH46*'Assumptions'!AH76+AH76*'Assumptions'!$D$15</x:f>
        <x:v>156976236.06119707</x:v>
      </x:c>
      <x:c r="AI77" s="76" t="n">
        <x:f>AI75*'Assumptions'!AI46*'Assumptions'!AI61/1000000*'Assumptions'!$D$13*'Assumptions'!$D$12+AI75*'Assumptions'!AI46*'Assumptions'!AI66/1000000*'Assumptions'!$D$14*'Assumptions'!$D$12+AI75*'Assumptions'!AI46*'Assumptions'!AI71+AI75*'Assumptions'!AI46*'Assumptions'!AI76+AI76*'Assumptions'!$D$15</x:f>
        <x:v>161155559.40027916</x:v>
      </x:c>
      <x:c r="AJ77" s="76" t="n">
        <x:f>AJ75*'Assumptions'!AJ46*'Assumptions'!AJ61/1000000*'Assumptions'!$D$13*'Assumptions'!$D$12+AJ75*'Assumptions'!AJ46*'Assumptions'!AJ66/1000000*'Assumptions'!$D$14*'Assumptions'!$D$12+AJ75*'Assumptions'!AJ46*'Assumptions'!AJ71+AJ75*'Assumptions'!AJ46*'Assumptions'!AJ76+AJ76*'Assumptions'!$D$15</x:f>
        <x:v>165272192.88927495</x:v>
      </x:c>
      <x:c r="AK77" s="76" t="n">
        <x:f>AK75*'Assumptions'!AK46*'Assumptions'!AK61/1000000*'Assumptions'!$D$13*'Assumptions'!$D$12+AK75*'Assumptions'!AK46*'Assumptions'!AK66/1000000*'Assumptions'!$D$14*'Assumptions'!$D$12+AK75*'Assumptions'!AK46*'Assumptions'!AK71+AK75*'Assumptions'!AK46*'Assumptions'!AK76+AK76*'Assumptions'!$D$15</x:f>
        <x:v>169327076.87593585</x:v>
      </x:c>
      <x:c r="AL77" s="76" t="n">
        <x:f>AL75*'Assumptions'!AL46*'Assumptions'!AL61/1000000*'Assumptions'!$D$13*'Assumptions'!$D$12+AL75*'Assumptions'!AL46*'Assumptions'!AL66/1000000*'Assumptions'!$D$14*'Assumptions'!$D$12+AL75*'Assumptions'!AL46*'Assumptions'!AL71+AL75*'Assumptions'!AL46*'Assumptions'!AL76+AL76*'Assumptions'!$D$15</x:f>
        <x:v>173321137.6027968</x:v>
      </x:c>
    </x:row>
    <x:row r="78">
      <x:c r="A78" s="14" t="str">
        <x:v>Gross Profit</x:v>
      </x:c>
      <x:c r="B78" s="14" t="str"/>
      <x:c r="C78" s="76" t="n">
        <x:f>C76-C77</x:f>
        <x:v>40494072.99</x:v>
      </x:c>
      <x:c r="D78" s="76" t="n">
        <x:f>D76-D77</x:f>
        <x:v>39886661.89515</x:v>
      </x:c>
      <x:c r="E78" s="76" t="n">
        <x:f>E76-E77</x:f>
        <x:v>39288361.96672274</x:v>
      </x:c>
      <x:c r="F78" s="76" t="n">
        <x:f>F76-F77</x:f>
        <x:v>107765069.65722191</x:v>
      </x:c>
      <x:c r="G78" s="76" t="n">
        <x:f>G76-G77</x:f>
        <x:v>175214626.73236358</x:v>
      </x:c>
      <x:c r="H78" s="76" t="n">
        <x:f>H76-H77</x:f>
        <x:v>241652440.4513781</x:v>
      </x:c>
      <x:c r="I78" s="76" t="n">
        <x:f>I76-I77</x:f>
        <x:v>307093686.96460754</x:v>
      </x:c>
      <x:c r="J78" s="76" t="n">
        <x:f>J76-J77</x:f>
        <x:v>371553314.78013843</x:v>
      </x:c>
      <x:c r="K78" s="76" t="n">
        <x:f>K76-K77</x:f>
        <x:v>435046048.17843634</x:v>
      </x:c>
      <x:c r="L78" s="76" t="n">
        <x:f>L76-L77</x:f>
        <x:v>497586390.5757598</x:v>
      </x:c>
      <x:c r="M78" s="76" t="n">
        <x:f>M76-M77</x:f>
        <x:v>559188627.8371234</x:v>
      </x:c>
      <x:c r="N78" s="76" t="n">
        <x:f>N76-N77</x:f>
        <x:v>619866831.5395665</x:v>
      </x:c>
      <x:c r="O78" s="76" t="n">
        <x:f>O76-O77</x:f>
        <x:v>679634862.186473</x:v>
      </x:c>
      <x:c r="P78" s="76" t="n">
        <x:f>P76-P77</x:f>
        <x:v>738506372.3736758</x:v>
      </x:c>
      <x:c r="Q78" s="76" t="n">
        <x:f>Q76-Q77</x:f>
        <x:v>796494809.9080707</x:v>
      </x:c>
      <x:c r="R78" s="76" t="n">
        <x:f>R76-R77</x:f>
        <x:v>853613420.8794496</x:v>
      </x:c>
      <x:c r="S78" s="76" t="n">
        <x:f>S76-S77</x:f>
        <x:v>909875252.686258</x:v>
      </x:c>
      <x:c r="T78" s="76" t="n">
        <x:f>T76-T77</x:f>
        <x:v>965293157.0159642</x:v>
      </x:c>
      <x:c r="U78" s="76" t="n">
        <x:f>U76-U77</x:f>
        <x:v>1019879792.7807248</x:v>
      </x:c>
      <x:c r="V78" s="76" t="n">
        <x:f>V76-V77</x:f>
        <x:v>1073647629.009014</x:v>
      </x:c>
      <x:c r="W78" s="76" t="n">
        <x:f>W76-W77</x:f>
        <x:v>1126608947.693879</x:v>
      </x:c>
      <x:c r="X78" s="76" t="n">
        <x:f>X76-X77</x:f>
        <x:v>1178775846.5984707</x:v>
      </x:c>
      <x:c r="Y78" s="76" t="n">
        <x:f>Y76-Y77</x:f>
        <x:v>1230160242.0194936</x:v>
      </x:c>
      <x:c r="Z78" s="76" t="n">
        <x:f>Z76-Z77</x:f>
        <x:v>1280773871.5092013</x:v>
      </x:c>
      <x:c r="AA78" s="76" t="n">
        <x:f>AA76-AA77</x:f>
        <x:v>1330628296.5565634</x:v>
      </x:c>
      <x:c r="AB78" s="76" t="n">
        <x:f>AB76-AB77</x:f>
        <x:v>1379734905.228215</x:v>
      </x:c>
      <x:c r="AC78" s="76" t="n">
        <x:f>AC76-AC77</x:f>
        <x:v>1428104914.7697916</x:v>
      </x:c>
      <x:c r="AD78" s="76" t="n">
        <x:f>AD76-AD77</x:f>
        <x:v>1475749374.168245</x:v>
      </x:c>
      <x:c r="AE78" s="76" t="n">
        <x:f>AE76-AE77</x:f>
        <x:v>1522679166.6757214</x:v>
      </x:c>
      <x:c r="AF78" s="76" t="n">
        <x:f>AF76-AF77</x:f>
        <x:v>1568905012.2955856</x:v>
      </x:c>
      <x:c r="AG78" s="76" t="n">
        <x:f>AG76-AG77</x:f>
        <x:v>1614437470.2311518</x:v>
      </x:c>
      <x:c r="AH78" s="76" t="n">
        <x:f>AH76-AH77</x:f>
        <x:v>1659286941.297685</x:v>
      </x:c>
      <x:c r="AI78" s="76" t="n">
        <x:f>AI76-AI77</x:f>
        <x:v>1703463670.2982197</x:v>
      </x:c>
      <x:c r="AJ78" s="76" t="n">
        <x:f>AJ76-AJ77</x:f>
        <x:v>1746977748.3637462</x:v>
      </x:c>
      <x:c r="AK78" s="76" t="n">
        <x:f>AK76-AK77</x:f>
        <x:v>1789839115.2582903</x:v>
      </x:c>
      <x:c r="AL78" s="76" t="n">
        <x:f>AL76-AL77</x:f>
        <x:v>1832057561.6494157</x:v>
      </x:c>
    </x:row>
    <x:row r="79">
      <x:c r="A79" s="14" t="str">
        <x:v>Gross Margin</x:v>
      </x:c>
      <x:c r="B79" s="14" t="str"/>
      <x:c r="C79" s="78" t="n">
        <x:f>IF(C76=0,0,C78/C76)</x:f>
        <x:v>0.9135718666666667</x:v>
      </x:c>
      <x:c r="D79" s="78" t="n">
        <x:f>IF(D76=0,0,D78/D76)</x:f>
        <x:v>0.9135718666666667</x:v>
      </x:c>
      <x:c r="E79" s="78" t="n">
        <x:f>IF(E76=0,0,E78/E76)</x:f>
        <x:v>0.9135718666666667</x:v>
      </x:c>
      <x:c r="F79" s="78" t="n">
        <x:f>IF(F76=0,0,F78/F76)</x:f>
        <x:v>0.9135718666666667</x:v>
      </x:c>
      <x:c r="G79" s="78" t="n">
        <x:f>IF(G76=0,0,G78/G76)</x:f>
        <x:v>0.9135718666666667</x:v>
      </x:c>
      <x:c r="H79" s="78" t="n">
        <x:f>IF(H76=0,0,H78/H76)</x:f>
        <x:v>0.9135718666666666</x:v>
      </x:c>
      <x:c r="I79" s="78" t="n">
        <x:f>IF(I76=0,0,I78/I76)</x:f>
        <x:v>0.9135718666666667</x:v>
      </x:c>
      <x:c r="J79" s="78" t="n">
        <x:f>IF(J76=0,0,J78/J76)</x:f>
        <x:v>0.9135718666666667</x:v>
      </x:c>
      <x:c r="K79" s="78" t="n">
        <x:f>IF(K76=0,0,K78/K76)</x:f>
        <x:v>0.9135718666666667</x:v>
      </x:c>
      <x:c r="L79" s="78" t="n">
        <x:f>IF(L76=0,0,L78/L76)</x:f>
        <x:v>0.9135718666666667</x:v>
      </x:c>
      <x:c r="M79" s="78" t="n">
        <x:f>IF(M76=0,0,M78/M76)</x:f>
        <x:v>0.9135718666666667</x:v>
      </x:c>
      <x:c r="N79" s="78" t="n">
        <x:f>IF(N76=0,0,N78/N76)</x:f>
        <x:v>0.9135718666666667</x:v>
      </x:c>
      <x:c r="O79" s="78" t="n">
        <x:f>IF(O76=0,0,O78/O76)</x:f>
        <x:v>0.9135718666666667</x:v>
      </x:c>
      <x:c r="P79" s="78" t="n">
        <x:f>IF(P76=0,0,P78/P76)</x:f>
        <x:v>0.9135718666666667</x:v>
      </x:c>
      <x:c r="Q79" s="78" t="n">
        <x:f>IF(Q76=0,0,Q78/Q76)</x:f>
        <x:v>0.9135718666666667</x:v>
      </x:c>
      <x:c r="R79" s="78" t="n">
        <x:f>IF(R76=0,0,R78/R76)</x:f>
        <x:v>0.9135718666666667</x:v>
      </x:c>
      <x:c r="S79" s="78" t="n">
        <x:f>IF(S76=0,0,S78/S76)</x:f>
        <x:v>0.9135718666666667</x:v>
      </x:c>
      <x:c r="T79" s="78" t="n">
        <x:f>IF(T76=0,0,T78/T76)</x:f>
        <x:v>0.9135718666666667</x:v>
      </x:c>
      <x:c r="U79" s="78" t="n">
        <x:f>IF(U76=0,0,U78/U76)</x:f>
        <x:v>0.9135718666666667</x:v>
      </x:c>
      <x:c r="V79" s="78" t="n">
        <x:f>IF(V76=0,0,V78/V76)</x:f>
        <x:v>0.9135718666666667</x:v>
      </x:c>
      <x:c r="W79" s="78" t="n">
        <x:f>IF(W76=0,0,W78/W76)</x:f>
        <x:v>0.9135718666666667</x:v>
      </x:c>
      <x:c r="X79" s="78" t="n">
        <x:f>IF(X76=0,0,X78/X76)</x:f>
        <x:v>0.9135718666666667</x:v>
      </x:c>
      <x:c r="Y79" s="78" t="n">
        <x:f>IF(Y76=0,0,Y78/Y76)</x:f>
        <x:v>0.9135718666666667</x:v>
      </x:c>
      <x:c r="Z79" s="78" t="n">
        <x:f>IF(Z76=0,0,Z78/Z76)</x:f>
        <x:v>0.9135718666666666</x:v>
      </x:c>
      <x:c r="AA79" s="78" t="n">
        <x:f>IF(AA76=0,0,AA78/AA76)</x:f>
        <x:v>0.9135718666666667</x:v>
      </x:c>
      <x:c r="AB79" s="78" t="n">
        <x:f>IF(AB76=0,0,AB78/AB76)</x:f>
        <x:v>0.9135718666666667</x:v>
      </x:c>
      <x:c r="AC79" s="78" t="n">
        <x:f>IF(AC76=0,0,AC78/AC76)</x:f>
        <x:v>0.9135718666666667</x:v>
      </x:c>
      <x:c r="AD79" s="78" t="n">
        <x:f>IF(AD76=0,0,AD78/AD76)</x:f>
        <x:v>0.9135718666666667</x:v>
      </x:c>
      <x:c r="AE79" s="78" t="n">
        <x:f>IF(AE76=0,0,AE78/AE76)</x:f>
        <x:v>0.9135718666666667</x:v>
      </x:c>
      <x:c r="AF79" s="78" t="n">
        <x:f>IF(AF76=0,0,AF78/AF76)</x:f>
        <x:v>0.9135718666666667</x:v>
      </x:c>
      <x:c r="AG79" s="78" t="n">
        <x:f>IF(AG76=0,0,AG78/AG76)</x:f>
        <x:v>0.9135718666666667</x:v>
      </x:c>
      <x:c r="AH79" s="78" t="n">
        <x:f>IF(AH76=0,0,AH78/AH76)</x:f>
        <x:v>0.9135718666666667</x:v>
      </x:c>
      <x:c r="AI79" s="78" t="n">
        <x:f>IF(AI76=0,0,AI78/AI76)</x:f>
        <x:v>0.9135718666666667</x:v>
      </x:c>
      <x:c r="AJ79" s="78" t="n">
        <x:f>IF(AJ76=0,0,AJ78/AJ76)</x:f>
        <x:v>0.9135718666666667</x:v>
      </x:c>
      <x:c r="AK79" s="78" t="n">
        <x:f>IF(AK76=0,0,AK78/AK76)</x:f>
        <x:v>0.9135718666666667</x:v>
      </x:c>
      <x:c r="AL79" s="78" t="n">
        <x:f>IF(AL76=0,0,AL78/AL76)</x:f>
        <x:v>0.9135718666666667</x:v>
      </x:c>
    </x:row>
    <x:row r="80">
      <x:c r="A80" s="14" t="str">
        <x:v>Fixed Opex</x:v>
      </x:c>
      <x:c r="B80" s="14" t="str"/>
      <x:c r="C80" s="74" t="n">
        <x:f>'Assumptions'!C81</x:f>
        <x:v>110000000</x:v>
      </x:c>
      <x:c r="D80" s="74" t="n">
        <x:f>'Assumptions'!D81</x:f>
        <x:v>110000000</x:v>
      </x:c>
      <x:c r="E80" s="74" t="n">
        <x:f>'Assumptions'!E81</x:f>
        <x:v>110000000</x:v>
      </x:c>
      <x:c r="F80" s="74" t="n">
        <x:f>'Assumptions'!F81</x:f>
        <x:v>110000000</x:v>
      </x:c>
      <x:c r="G80" s="74" t="n">
        <x:f>'Assumptions'!G81</x:f>
        <x:v>110000000</x:v>
      </x:c>
      <x:c r="H80" s="74" t="n">
        <x:f>'Assumptions'!H81</x:f>
        <x:v>110000000</x:v>
      </x:c>
      <x:c r="I80" s="74" t="n">
        <x:f>'Assumptions'!I81</x:f>
        <x:v>110000000</x:v>
      </x:c>
      <x:c r="J80" s="74" t="n">
        <x:f>'Assumptions'!J81</x:f>
        <x:v>110000000</x:v>
      </x:c>
      <x:c r="K80" s="74" t="n">
        <x:f>'Assumptions'!K81</x:f>
        <x:v>110000000</x:v>
      </x:c>
      <x:c r="L80" s="74" t="n">
        <x:f>'Assumptions'!L81</x:f>
        <x:v>110000000</x:v>
      </x:c>
      <x:c r="M80" s="74" t="n">
        <x:f>'Assumptions'!M81</x:f>
        <x:v>110000000</x:v>
      </x:c>
      <x:c r="N80" s="74" t="n">
        <x:f>'Assumptions'!N81</x:f>
        <x:v>110000000</x:v>
      </x:c>
      <x:c r="O80" s="74" t="n">
        <x:f>'Assumptions'!O81</x:f>
        <x:v>110000000</x:v>
      </x:c>
      <x:c r="P80" s="74" t="n">
        <x:f>'Assumptions'!P81</x:f>
        <x:v>110000000</x:v>
      </x:c>
      <x:c r="Q80" s="74" t="n">
        <x:f>'Assumptions'!Q81</x:f>
        <x:v>110000000</x:v>
      </x:c>
      <x:c r="R80" s="74" t="n">
        <x:f>'Assumptions'!R81</x:f>
        <x:v>110000000</x:v>
      </x:c>
      <x:c r="S80" s="74" t="n">
        <x:f>'Assumptions'!S81</x:f>
        <x:v>110000000</x:v>
      </x:c>
      <x:c r="T80" s="74" t="n">
        <x:f>'Assumptions'!T81</x:f>
        <x:v>110000000</x:v>
      </x:c>
      <x:c r="U80" s="74" t="n">
        <x:f>'Assumptions'!U81</x:f>
        <x:v>110000000</x:v>
      </x:c>
      <x:c r="V80" s="74" t="n">
        <x:f>'Assumptions'!V81</x:f>
        <x:v>110000000</x:v>
      </x:c>
      <x:c r="W80" s="74" t="n">
        <x:f>'Assumptions'!W81</x:f>
        <x:v>110000000</x:v>
      </x:c>
      <x:c r="X80" s="74" t="n">
        <x:f>'Assumptions'!X81</x:f>
        <x:v>110000000</x:v>
      </x:c>
      <x:c r="Y80" s="74" t="n">
        <x:f>'Assumptions'!Y81</x:f>
        <x:v>110000000</x:v>
      </x:c>
      <x:c r="Z80" s="74" t="n">
        <x:f>'Assumptions'!Z81</x:f>
        <x:v>110000000</x:v>
      </x:c>
      <x:c r="AA80" s="74" t="n">
        <x:f>'Assumptions'!AA81</x:f>
        <x:v>110000000</x:v>
      </x:c>
      <x:c r="AB80" s="74" t="n">
        <x:f>'Assumptions'!AB81</x:f>
        <x:v>110000000</x:v>
      </x:c>
      <x:c r="AC80" s="74" t="n">
        <x:f>'Assumptions'!AC81</x:f>
        <x:v>110000000</x:v>
      </x:c>
      <x:c r="AD80" s="74" t="n">
        <x:f>'Assumptions'!AD81</x:f>
        <x:v>110000000</x:v>
      </x:c>
      <x:c r="AE80" s="74" t="n">
        <x:f>'Assumptions'!AE81</x:f>
        <x:v>110000000</x:v>
      </x:c>
      <x:c r="AF80" s="74" t="n">
        <x:f>'Assumptions'!AF81</x:f>
        <x:v>110000000</x:v>
      </x:c>
      <x:c r="AG80" s="74" t="n">
        <x:f>'Assumptions'!AG81</x:f>
        <x:v>110000000</x:v>
      </x:c>
      <x:c r="AH80" s="74" t="n">
        <x:f>'Assumptions'!AH81</x:f>
        <x:v>110000000</x:v>
      </x:c>
      <x:c r="AI80" s="74" t="n">
        <x:f>'Assumptions'!AI81</x:f>
        <x:v>110000000</x:v>
      </x:c>
      <x:c r="AJ80" s="74" t="n">
        <x:f>'Assumptions'!AJ81</x:f>
        <x:v>110000000</x:v>
      </x:c>
      <x:c r="AK80" s="74" t="n">
        <x:f>'Assumptions'!AK81</x:f>
        <x:v>110000000</x:v>
      </x:c>
      <x:c r="AL80" s="74" t="n">
        <x:f>'Assumptions'!AL81</x:f>
        <x:v>110000000</x:v>
      </x:c>
    </x:row>
    <x:row r="81">
      <x:c r="A81" s="14" t="str">
        <x:v>Operating Profit / Loss</x:v>
      </x:c>
      <x:c r="B81" s="14" t="str"/>
      <x:c r="C81" s="74" t="n">
        <x:f>C78-C80</x:f>
        <x:v>-69505927.00999999</x:v>
      </x:c>
      <x:c r="D81" s="74" t="n">
        <x:f>D78-D80</x:f>
        <x:v>-70113338.10485</x:v>
      </x:c>
      <x:c r="E81" s="74" t="n">
        <x:f>E78-E80</x:f>
        <x:v>-70711638.03327726</x:v>
      </x:c>
      <x:c r="F81" s="74" t="n">
        <x:f>F78-F80</x:f>
        <x:v>-2234930.3427780867</x:v>
      </x:c>
      <x:c r="G81" s="74" t="n">
        <x:f>G78-G80</x:f>
        <x:v>65214626.73236358</x:v>
      </x:c>
      <x:c r="H81" s="74" t="n">
        <x:f>H78-H80</x:f>
        <x:v>131652440.4513781</x:v>
      </x:c>
      <x:c r="I81" s="74" t="n">
        <x:f>I78-I80</x:f>
        <x:v>197093686.96460754</x:v>
      </x:c>
      <x:c r="J81" s="74" t="n">
        <x:f>J78-J80</x:f>
        <x:v>261553314.78013843</x:v>
      </x:c>
      <x:c r="K81" s="74" t="n">
        <x:f>K78-K80</x:f>
        <x:v>325046048.17843634</x:v>
      </x:c>
      <x:c r="L81" s="74" t="n">
        <x:f>L78-L80</x:f>
        <x:v>387586390.5757598</x:v>
      </x:c>
      <x:c r="M81" s="74" t="n">
        <x:f>M78-M80</x:f>
        <x:v>449188627.8371234</x:v>
      </x:c>
      <x:c r="N81" s="74" t="n">
        <x:f>N78-N80</x:f>
        <x:v>509866831.5395665</x:v>
      </x:c>
      <x:c r="O81" s="74" t="n">
        <x:f>O78-O80</x:f>
        <x:v>569634862.186473</x:v>
      </x:c>
      <x:c r="P81" s="74" t="n">
        <x:f>P78-P80</x:f>
        <x:v>628506372.3736758</x:v>
      </x:c>
      <x:c r="Q81" s="74" t="n">
        <x:f>Q78-Q80</x:f>
        <x:v>686494809.9080707</x:v>
      </x:c>
      <x:c r="R81" s="74" t="n">
        <x:f>R78-R80</x:f>
        <x:v>743613420.8794496</x:v>
      </x:c>
      <x:c r="S81" s="74" t="n">
        <x:f>S78-S80</x:f>
        <x:v>799875252.686258</x:v>
      </x:c>
      <x:c r="T81" s="74" t="n">
        <x:f>T78-T80</x:f>
        <x:v>855293157.0159642</x:v>
      </x:c>
      <x:c r="U81" s="74" t="n">
        <x:f>U78-U80</x:f>
        <x:v>909879792.7807248</x:v>
      </x:c>
      <x:c r="V81" s="74" t="n">
        <x:f>V78-V80</x:f>
        <x:v>963647629.009014</x:v>
      </x:c>
      <x:c r="W81" s="74" t="n">
        <x:f>W78-W80</x:f>
        <x:v>1016608947.6938789</x:v>
      </x:c>
      <x:c r="X81" s="74" t="n">
        <x:f>X78-X80</x:f>
        <x:v>1068775846.5984707</x:v>
      </x:c>
      <x:c r="Y81" s="74" t="n">
        <x:f>Y78-Y80</x:f>
        <x:v>1120160242.0194936</x:v>
      </x:c>
      <x:c r="Z81" s="74" t="n">
        <x:f>Z78-Z80</x:f>
        <x:v>1170773871.5092013</x:v>
      </x:c>
      <x:c r="AA81" s="74" t="n">
        <x:f>AA78-AA80</x:f>
        <x:v>1220628296.5565634</x:v>
      </x:c>
      <x:c r="AB81" s="74" t="n">
        <x:f>AB78-AB80</x:f>
        <x:v>1269734905.228215</x:v>
      </x:c>
      <x:c r="AC81" s="74" t="n">
        <x:f>AC78-AC80</x:f>
        <x:v>1318104914.7697916</x:v>
      </x:c>
      <x:c r="AD81" s="74" t="n">
        <x:f>AD78-AD80</x:f>
        <x:v>1365749374.168245</x:v>
      </x:c>
      <x:c r="AE81" s="74" t="n">
        <x:f>AE78-AE80</x:f>
        <x:v>1412679166.6757214</x:v>
      </x:c>
      <x:c r="AF81" s="74" t="n">
        <x:f>AF78-AF80</x:f>
        <x:v>1458905012.2955856</x:v>
      </x:c>
      <x:c r="AG81" s="74" t="n">
        <x:f>AG78-AG80</x:f>
        <x:v>1504437470.2311518</x:v>
      </x:c>
      <x:c r="AH81" s="74" t="n">
        <x:f>AH78-AH80</x:f>
        <x:v>1549286941.297685</x:v>
      </x:c>
      <x:c r="AI81" s="74" t="n">
        <x:f>AI78-AI80</x:f>
        <x:v>1593463670.2982197</x:v>
      </x:c>
      <x:c r="AJ81" s="74" t="n">
        <x:f>AJ78-AJ80</x:f>
        <x:v>1636977748.3637462</x:v>
      </x:c>
      <x:c r="AK81" s="74" t="n">
        <x:f>AK78-AK80</x:f>
        <x:v>1679839115.2582903</x:v>
      </x:c>
      <x:c r="AL81" s="74" t="n">
        <x:f>AL78-AL80</x:f>
        <x:v>1722057561.6494157</x:v>
      </x:c>
    </x:row>
    <x:row r="82">
      <x:c r="A82" s="14" t="str">
        <x:v>Funding</x:v>
      </x:c>
      <x:c r="B82" s="14" t="str"/>
      <x:c r="C82" s="74" t="n">
        <x:f>IF(1='Assumptions'!$D$10,'Assumptions'!$D$9,0)</x:f>
        <x:v>1500000000</x:v>
      </x:c>
      <x:c r="D82" s="74" t="n">
        <x:f>IF(2='Assumptions'!$D$10,'Assumptions'!$D$9,0)</x:f>
        <x:v>0</x:v>
      </x:c>
      <x:c r="E82" s="74" t="n">
        <x:f>IF(3='Assumptions'!$D$10,'Assumptions'!$D$9,0)</x:f>
        <x:v>0</x:v>
      </x:c>
      <x:c r="F82" s="74" t="n">
        <x:f>IF(4='Assumptions'!$D$10,'Assumptions'!$D$9,0)</x:f>
        <x:v>0</x:v>
      </x:c>
      <x:c r="G82" s="74" t="n">
        <x:f>IF(5='Assumptions'!$D$10,'Assumptions'!$D$9,0)</x:f>
        <x:v>0</x:v>
      </x:c>
      <x:c r="H82" s="74" t="n">
        <x:f>IF(6='Assumptions'!$D$10,'Assumptions'!$D$9,0)</x:f>
        <x:v>0</x:v>
      </x:c>
      <x:c r="I82" s="74" t="n">
        <x:f>IF(7='Assumptions'!$D$10,'Assumptions'!$D$9,0)</x:f>
        <x:v>0</x:v>
      </x:c>
      <x:c r="J82" s="74" t="n">
        <x:f>IF(8='Assumptions'!$D$10,'Assumptions'!$D$9,0)</x:f>
        <x:v>0</x:v>
      </x:c>
      <x:c r="K82" s="74" t="n">
        <x:f>IF(9='Assumptions'!$D$10,'Assumptions'!$D$9,0)</x:f>
        <x:v>0</x:v>
      </x:c>
      <x:c r="L82" s="74" t="n">
        <x:f>IF(10='Assumptions'!$D$10,'Assumptions'!$D$9,0)</x:f>
        <x:v>0</x:v>
      </x:c>
      <x:c r="M82" s="74" t="n">
        <x:f>IF(11='Assumptions'!$D$10,'Assumptions'!$D$9,0)</x:f>
        <x:v>0</x:v>
      </x:c>
      <x:c r="N82" s="74" t="n">
        <x:f>IF(12='Assumptions'!$D$10,'Assumptions'!$D$9,0)</x:f>
        <x:v>0</x:v>
      </x:c>
      <x:c r="O82" s="74" t="n">
        <x:f>IF(13='Assumptions'!$D$10,'Assumptions'!$D$9,0)</x:f>
        <x:v>0</x:v>
      </x:c>
      <x:c r="P82" s="74" t="n">
        <x:f>IF(14='Assumptions'!$D$10,'Assumptions'!$D$9,0)</x:f>
        <x:v>0</x:v>
      </x:c>
      <x:c r="Q82" s="74" t="n">
        <x:f>IF(15='Assumptions'!$D$10,'Assumptions'!$D$9,0)</x:f>
        <x:v>0</x:v>
      </x:c>
      <x:c r="R82" s="74" t="n">
        <x:f>IF(16='Assumptions'!$D$10,'Assumptions'!$D$9,0)</x:f>
        <x:v>0</x:v>
      </x:c>
      <x:c r="S82" s="74" t="n">
        <x:f>IF(17='Assumptions'!$D$10,'Assumptions'!$D$9,0)</x:f>
        <x:v>0</x:v>
      </x:c>
      <x:c r="T82" s="74" t="n">
        <x:f>IF(18='Assumptions'!$D$10,'Assumptions'!$D$9,0)</x:f>
        <x:v>0</x:v>
      </x:c>
      <x:c r="U82" s="74" t="n">
        <x:f>IF(19='Assumptions'!$D$10,'Assumptions'!$D$9,0)</x:f>
        <x:v>0</x:v>
      </x:c>
      <x:c r="V82" s="74" t="n">
        <x:f>IF(20='Assumptions'!$D$10,'Assumptions'!$D$9,0)</x:f>
        <x:v>0</x:v>
      </x:c>
      <x:c r="W82" s="74" t="n">
        <x:f>IF(21='Assumptions'!$D$10,'Assumptions'!$D$9,0)</x:f>
        <x:v>0</x:v>
      </x:c>
      <x:c r="X82" s="74" t="n">
        <x:f>IF(22='Assumptions'!$D$10,'Assumptions'!$D$9,0)</x:f>
        <x:v>0</x:v>
      </x:c>
      <x:c r="Y82" s="74" t="n">
        <x:f>IF(23='Assumptions'!$D$10,'Assumptions'!$D$9,0)</x:f>
        <x:v>0</x:v>
      </x:c>
      <x:c r="Z82" s="74" t="n">
        <x:f>IF(24='Assumptions'!$D$10,'Assumptions'!$D$9,0)</x:f>
        <x:v>0</x:v>
      </x:c>
      <x:c r="AA82" s="74" t="n">
        <x:f>IF(25='Assumptions'!$D$10,'Assumptions'!$D$9,0)</x:f>
        <x:v>0</x:v>
      </x:c>
      <x:c r="AB82" s="74" t="n">
        <x:f>IF(26='Assumptions'!$D$10,'Assumptions'!$D$9,0)</x:f>
        <x:v>0</x:v>
      </x:c>
      <x:c r="AC82" s="74" t="n">
        <x:f>IF(27='Assumptions'!$D$10,'Assumptions'!$D$9,0)</x:f>
        <x:v>0</x:v>
      </x:c>
      <x:c r="AD82" s="74" t="n">
        <x:f>IF(28='Assumptions'!$D$10,'Assumptions'!$D$9,0)</x:f>
        <x:v>0</x:v>
      </x:c>
      <x:c r="AE82" s="74" t="n">
        <x:f>IF(29='Assumptions'!$D$10,'Assumptions'!$D$9,0)</x:f>
        <x:v>0</x:v>
      </x:c>
      <x:c r="AF82" s="74" t="n">
        <x:f>IF(30='Assumptions'!$D$10,'Assumptions'!$D$9,0)</x:f>
        <x:v>0</x:v>
      </x:c>
      <x:c r="AG82" s="74" t="n">
        <x:f>IF(31='Assumptions'!$D$10,'Assumptions'!$D$9,0)</x:f>
        <x:v>0</x:v>
      </x:c>
      <x:c r="AH82" s="74" t="n">
        <x:f>IF(32='Assumptions'!$D$10,'Assumptions'!$D$9,0)</x:f>
        <x:v>0</x:v>
      </x:c>
      <x:c r="AI82" s="74" t="n">
        <x:f>IF(33='Assumptions'!$D$10,'Assumptions'!$D$9,0)</x:f>
        <x:v>0</x:v>
      </x:c>
      <x:c r="AJ82" s="74" t="n">
        <x:f>IF(34='Assumptions'!$D$10,'Assumptions'!$D$9,0)</x:f>
        <x:v>0</x:v>
      </x:c>
      <x:c r="AK82" s="74" t="n">
        <x:f>IF(35='Assumptions'!$D$10,'Assumptions'!$D$9,0)</x:f>
        <x:v>0</x:v>
      </x:c>
      <x:c r="AL82" s="74" t="n">
        <x:f>IF(36='Assumptions'!$D$10,'Assumptions'!$D$9,0)</x:f>
        <x:v>0</x:v>
      </x:c>
    </x:row>
    <x:row r="83">
      <x:c r="A83" s="14" t="str">
        <x:v>Net Cash Flow</x:v>
      </x:c>
      <x:c r="B83" s="14" t="str"/>
      <x:c r="C83" s="74" t="n">
        <x:f>C81+C82</x:f>
        <x:v>1430494072.99</x:v>
      </x:c>
      <x:c r="D83" s="74" t="n">
        <x:f>D81+D82</x:f>
        <x:v>-70113338.10485</x:v>
      </x:c>
      <x:c r="E83" s="74" t="n">
        <x:f>E81+E82</x:f>
        <x:v>-70711638.03327726</x:v>
      </x:c>
      <x:c r="F83" s="74" t="n">
        <x:f>F81+F82</x:f>
        <x:v>-2234930.3427780867</x:v>
      </x:c>
      <x:c r="G83" s="74" t="n">
        <x:f>G81+G82</x:f>
        <x:v>65214626.73236358</x:v>
      </x:c>
      <x:c r="H83" s="74" t="n">
        <x:f>H81+H82</x:f>
        <x:v>131652440.4513781</x:v>
      </x:c>
      <x:c r="I83" s="74" t="n">
        <x:f>I81+I82</x:f>
        <x:v>197093686.96460754</x:v>
      </x:c>
      <x:c r="J83" s="74" t="n">
        <x:f>J81+J82</x:f>
        <x:v>261553314.78013843</x:v>
      </x:c>
      <x:c r="K83" s="74" t="n">
        <x:f>K81+K82</x:f>
        <x:v>325046048.17843634</x:v>
      </x:c>
      <x:c r="L83" s="74" t="n">
        <x:f>L81+L82</x:f>
        <x:v>387586390.5757598</x:v>
      </x:c>
      <x:c r="M83" s="74" t="n">
        <x:f>M81+M82</x:f>
        <x:v>449188627.8371234</x:v>
      </x:c>
      <x:c r="N83" s="74" t="n">
        <x:f>N81+N82</x:f>
        <x:v>509866831.5395665</x:v>
      </x:c>
      <x:c r="O83" s="74" t="n">
        <x:f>O81+O82</x:f>
        <x:v>569634862.186473</x:v>
      </x:c>
      <x:c r="P83" s="74" t="n">
        <x:f>P81+P82</x:f>
        <x:v>628506372.3736758</x:v>
      </x:c>
      <x:c r="Q83" s="74" t="n">
        <x:f>Q81+Q82</x:f>
        <x:v>686494809.9080707</x:v>
      </x:c>
      <x:c r="R83" s="74" t="n">
        <x:f>R81+R82</x:f>
        <x:v>743613420.8794496</x:v>
      </x:c>
      <x:c r="S83" s="74" t="n">
        <x:f>S81+S82</x:f>
        <x:v>799875252.686258</x:v>
      </x:c>
      <x:c r="T83" s="74" t="n">
        <x:f>T81+T82</x:f>
        <x:v>855293157.0159642</x:v>
      </x:c>
      <x:c r="U83" s="74" t="n">
        <x:f>U81+U82</x:f>
        <x:v>909879792.7807248</x:v>
      </x:c>
      <x:c r="V83" s="74" t="n">
        <x:f>V81+V82</x:f>
        <x:v>963647629.009014</x:v>
      </x:c>
      <x:c r="W83" s="74" t="n">
        <x:f>W81+W82</x:f>
        <x:v>1016608947.6938789</x:v>
      </x:c>
      <x:c r="X83" s="74" t="n">
        <x:f>X81+X82</x:f>
        <x:v>1068775846.5984707</x:v>
      </x:c>
      <x:c r="Y83" s="74" t="n">
        <x:f>Y81+Y82</x:f>
        <x:v>1120160242.0194936</x:v>
      </x:c>
      <x:c r="Z83" s="74" t="n">
        <x:f>Z81+Z82</x:f>
        <x:v>1170773871.5092013</x:v>
      </x:c>
      <x:c r="AA83" s="74" t="n">
        <x:f>AA81+AA82</x:f>
        <x:v>1220628296.5565634</x:v>
      </x:c>
      <x:c r="AB83" s="74" t="n">
        <x:f>AB81+AB82</x:f>
        <x:v>1269734905.228215</x:v>
      </x:c>
      <x:c r="AC83" s="74" t="n">
        <x:f>AC81+AC82</x:f>
        <x:v>1318104914.7697916</x:v>
      </x:c>
      <x:c r="AD83" s="74" t="n">
        <x:f>AD81+AD82</x:f>
        <x:v>1365749374.168245</x:v>
      </x:c>
      <x:c r="AE83" s="74" t="n">
        <x:f>AE81+AE82</x:f>
        <x:v>1412679166.6757214</x:v>
      </x:c>
      <x:c r="AF83" s="74" t="n">
        <x:f>AF81+AF82</x:f>
        <x:v>1458905012.2955856</x:v>
      </x:c>
      <x:c r="AG83" s="74" t="n">
        <x:f>AG81+AG82</x:f>
        <x:v>1504437470.2311518</x:v>
      </x:c>
      <x:c r="AH83" s="74" t="n">
        <x:f>AH81+AH82</x:f>
        <x:v>1549286941.297685</x:v>
      </x:c>
      <x:c r="AI83" s="74" t="n">
        <x:f>AI81+AI82</x:f>
        <x:v>1593463670.2982197</x:v>
      </x:c>
      <x:c r="AJ83" s="74" t="n">
        <x:f>AJ81+AJ82</x:f>
        <x:v>1636977748.3637462</x:v>
      </x:c>
      <x:c r="AK83" s="74" t="n">
        <x:f>AK81+AK82</x:f>
        <x:v>1679839115.2582903</x:v>
      </x:c>
      <x:c r="AL83" s="74" t="n">
        <x:f>AL81+AL82</x:f>
        <x:v>1722057561.6494157</x:v>
      </x:c>
    </x:row>
    <x:row r="84">
      <x:c r="A84" s="14" t="str">
        <x:v>Beginning Cash</x:v>
      </x:c>
      <x:c r="B84" s="14" t="str"/>
      <x:c r="C84" s="74" t="n">
        <x:f>'Assumptions'!$D$8</x:f>
        <x:v>500000000</x:v>
      </x:c>
      <x:c r="D84" s="74" t="n">
        <x:f>C85</x:f>
        <x:v>1930494072.99</x:v>
      </x:c>
      <x:c r="E84" s="74" t="n">
        <x:f>D85</x:f>
        <x:v>1860380734.88515</x:v>
      </x:c>
      <x:c r="F84" s="74" t="n">
        <x:f>E85</x:f>
        <x:v>1789669096.8518727</x:v>
      </x:c>
      <x:c r="G84" s="74" t="n">
        <x:f>F85</x:f>
        <x:v>1787434166.5090947</x:v>
      </x:c>
      <x:c r="H84" s="74" t="n">
        <x:f>G85</x:f>
        <x:v>1852648793.2414584</x:v>
      </x:c>
      <x:c r="I84" s="74" t="n">
        <x:f>H85</x:f>
        <x:v>1984301233.6928365</x:v>
      </x:c>
      <x:c r="J84" s="74" t="n">
        <x:f>I85</x:f>
        <x:v>2181394920.657444</x:v>
      </x:c>
      <x:c r="K84" s="74" t="n">
        <x:f>J85</x:f>
        <x:v>2442948235.4375825</x:v>
      </x:c>
      <x:c r="L84" s="74" t="n">
        <x:f>K85</x:f>
        <x:v>2767994283.616019</x:v>
      </x:c>
      <x:c r="M84" s="74" t="n">
        <x:f>L85</x:f>
        <x:v>3155580674.1917787</x:v>
      </x:c>
      <x:c r="N84" s="74" t="n">
        <x:f>M85</x:f>
        <x:v>3604769302.028902</x:v>
      </x:c>
      <x:c r="O84" s="74" t="n">
        <x:f>N85</x:f>
        <x:v>4114636133.5684686</x:v>
      </x:c>
      <x:c r="P84" s="74" t="n">
        <x:f>O85</x:f>
        <x:v>4684270995.754942</x:v>
      </x:c>
      <x:c r="Q84" s="74" t="n">
        <x:f>P85</x:f>
        <x:v>5312777368.128618</x:v>
      </x:c>
      <x:c r="R84" s="74" t="n">
        <x:f>Q85</x:f>
        <x:v>5999272178.036689</x:v>
      </x:c>
      <x:c r="S84" s="74" t="n">
        <x:f>R85</x:f>
        <x:v>6742885598.916139</x:v>
      </x:c>
      <x:c r="T84" s="74" t="n">
        <x:f>S85</x:f>
        <x:v>7542760851.602397</x:v>
      </x:c>
      <x:c r="U84" s="74" t="n">
        <x:f>T85</x:f>
        <x:v>8398054008.618361</x:v>
      </x:c>
      <x:c r="V84" s="74" t="n">
        <x:f>U85</x:f>
        <x:v>9307933801.399086</x:v>
      </x:c>
      <x:c r="W84" s="74" t="n">
        <x:f>V85</x:f>
        <x:v>10271581430.4081</x:v>
      </x:c>
      <x:c r="X84" s="74" t="n">
        <x:f>W85</x:f>
        <x:v>11288190378.101978</x:v>
      </x:c>
      <x:c r="Y84" s="74" t="n">
        <x:f>X85</x:f>
        <x:v>12356966224.700449</x:v>
      </x:c>
      <x:c r="Z84" s="74" t="n">
        <x:f>Y85</x:f>
        <x:v>13477126466.719942</x:v>
      </x:c>
      <x:c r="AA84" s="74" t="n">
        <x:f>Z85</x:f>
        <x:v>14647900338.229143</x:v>
      </x:c>
      <x:c r="AB84" s="74" t="n">
        <x:f>AA85</x:f>
        <x:v>15868528634.785706</x:v>
      </x:c>
      <x:c r="AC84" s="74" t="n">
        <x:f>AB85</x:f>
        <x:v>17138263540.01392</x:v>
      </x:c>
      <x:c r="AD84" s="74" t="n">
        <x:f>AC85</x:f>
        <x:v>18456368454.78371</x:v>
      </x:c>
      <x:c r="AE84" s="74" t="n">
        <x:f>AD85</x:f>
        <x:v>19822117828.951954</x:v>
      </x:c>
      <x:c r="AF84" s="74" t="n">
        <x:f>AE85</x:f>
        <x:v>21234796995.627674</x:v>
      </x:c>
      <x:c r="AG84" s="74" t="n">
        <x:f>AF85</x:f>
        <x:v>22693702007.92326</x:v>
      </x:c>
      <x:c r="AH84" s="74" t="n">
        <x:f>AG85</x:f>
        <x:v>24198139478.15441</x:v>
      </x:c>
      <x:c r="AI84" s="74" t="n">
        <x:f>AH85</x:f>
        <x:v>25747426419.452095</x:v>
      </x:c>
      <x:c r="AJ84" s="74" t="n">
        <x:f>AI85</x:f>
        <x:v>27340890089.750313</x:v>
      </x:c>
      <x:c r="AK84" s="74" t="n">
        <x:f>AJ85</x:f>
        <x:v>28977867838.11406</x:v>
      </x:c>
      <x:c r="AL84" s="74" t="n">
        <x:f>AK85</x:f>
        <x:v>30657706953.37235</x:v>
      </x:c>
    </x:row>
    <x:row r="85">
      <x:c r="A85" s="14" t="str">
        <x:v>Ending Cash</x:v>
      </x:c>
      <x:c r="B85" s="14" t="str"/>
      <x:c r="C85" s="76" t="n">
        <x:f>C84+C83</x:f>
        <x:v>1930494072.99</x:v>
      </x:c>
      <x:c r="D85" s="76" t="n">
        <x:f>D84+D83</x:f>
        <x:v>1860380734.88515</x:v>
      </x:c>
      <x:c r="E85" s="76" t="n">
        <x:f>E84+E83</x:f>
        <x:v>1789669096.8518727</x:v>
      </x:c>
      <x:c r="F85" s="76" t="n">
        <x:f>F84+F83</x:f>
        <x:v>1787434166.5090947</x:v>
      </x:c>
      <x:c r="G85" s="76" t="n">
        <x:f>G84+G83</x:f>
        <x:v>1852648793.2414584</x:v>
      </x:c>
      <x:c r="H85" s="76" t="n">
        <x:f>H84+H83</x:f>
        <x:v>1984301233.6928365</x:v>
      </x:c>
      <x:c r="I85" s="76" t="n">
        <x:f>I84+I83</x:f>
        <x:v>2181394920.657444</x:v>
      </x:c>
      <x:c r="J85" s="76" t="n">
        <x:f>J84+J83</x:f>
        <x:v>2442948235.4375825</x:v>
      </x:c>
      <x:c r="K85" s="76" t="n">
        <x:f>K84+K83</x:f>
        <x:v>2767994283.616019</x:v>
      </x:c>
      <x:c r="L85" s="76" t="n">
        <x:f>L84+L83</x:f>
        <x:v>3155580674.1917787</x:v>
      </x:c>
      <x:c r="M85" s="76" t="n">
        <x:f>M84+M83</x:f>
        <x:v>3604769302.028902</x:v>
      </x:c>
      <x:c r="N85" s="76" t="n">
        <x:f>N84+N83</x:f>
        <x:v>4114636133.5684686</x:v>
      </x:c>
      <x:c r="O85" s="76" t="n">
        <x:f>O84+O83</x:f>
        <x:v>4684270995.754942</x:v>
      </x:c>
      <x:c r="P85" s="76" t="n">
        <x:f>P84+P83</x:f>
        <x:v>5312777368.128618</x:v>
      </x:c>
      <x:c r="Q85" s="76" t="n">
        <x:f>Q84+Q83</x:f>
        <x:v>5999272178.036689</x:v>
      </x:c>
      <x:c r="R85" s="76" t="n">
        <x:f>R84+R83</x:f>
        <x:v>6742885598.916139</x:v>
      </x:c>
      <x:c r="S85" s="76" t="n">
        <x:f>S84+S83</x:f>
        <x:v>7542760851.602397</x:v>
      </x:c>
      <x:c r="T85" s="76" t="n">
        <x:f>T84+T83</x:f>
        <x:v>8398054008.618361</x:v>
      </x:c>
      <x:c r="U85" s="76" t="n">
        <x:f>U84+U83</x:f>
        <x:v>9307933801.399086</x:v>
      </x:c>
      <x:c r="V85" s="76" t="n">
        <x:f>V84+V83</x:f>
        <x:v>10271581430.4081</x:v>
      </x:c>
      <x:c r="W85" s="76" t="n">
        <x:f>W84+W83</x:f>
        <x:v>11288190378.101978</x:v>
      </x:c>
      <x:c r="X85" s="76" t="n">
        <x:f>X84+X83</x:f>
        <x:v>12356966224.700449</x:v>
      </x:c>
      <x:c r="Y85" s="76" t="n">
        <x:f>Y84+Y83</x:f>
        <x:v>13477126466.719942</x:v>
      </x:c>
      <x:c r="Z85" s="76" t="n">
        <x:f>Z84+Z83</x:f>
        <x:v>14647900338.229143</x:v>
      </x:c>
      <x:c r="AA85" s="76" t="n">
        <x:f>AA84+AA83</x:f>
        <x:v>15868528634.785706</x:v>
      </x:c>
      <x:c r="AB85" s="76" t="n">
        <x:f>AB84+AB83</x:f>
        <x:v>17138263540.01392</x:v>
      </x:c>
      <x:c r="AC85" s="76" t="n">
        <x:f>AC84+AC83</x:f>
        <x:v>18456368454.78371</x:v>
      </x:c>
      <x:c r="AD85" s="76" t="n">
        <x:f>AD84+AD83</x:f>
        <x:v>19822117828.951954</x:v>
      </x:c>
      <x:c r="AE85" s="76" t="n">
        <x:f>AE84+AE83</x:f>
        <x:v>21234796995.627674</x:v>
      </x:c>
      <x:c r="AF85" s="76" t="n">
        <x:f>AF84+AF83</x:f>
        <x:v>22693702007.92326</x:v>
      </x:c>
      <x:c r="AG85" s="76" t="n">
        <x:f>AG84+AG83</x:f>
        <x:v>24198139478.15441</x:v>
      </x:c>
      <x:c r="AH85" s="76" t="n">
        <x:f>AH84+AH83</x:f>
        <x:v>25747426419.452095</x:v>
      </x:c>
      <x:c r="AI85" s="76" t="n">
        <x:f>AI84+AI83</x:f>
        <x:v>27340890089.750313</x:v>
      </x:c>
      <x:c r="AJ85" s="76" t="n">
        <x:f>AJ84+AJ83</x:f>
        <x:v>28977867838.11406</x:v>
      </x:c>
      <x:c r="AK85" s="76" t="n">
        <x:f>AK84+AK83</x:f>
        <x:v>30657706953.37235</x:v>
      </x:c>
      <x:c r="AL85" s="76" t="n">
        <x:f>AL84+AL83</x:f>
        <x:v>32379764515.021763</x:v>
      </x:c>
    </x:row>
  </x:sheetData>
  <x:mergeCells>
    <x:mergeCell ref="C2:AL2"/>
    <x:mergeCell ref="C3:AL3"/>
    <x:mergeCell ref="A38:AL38"/>
    <x:mergeCell ref="A54:AL54"/>
    <x:mergeCell ref="A70:AL7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5630B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1"/>
      <x:c r="B2" s="1"/>
      <x:c r="C2" s="4" t="str">
        <x:v>Investor Outputs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1"/>
      <x:c r="B3" s="1"/>
      <x:c r="C3" s="6" t="str">
        <x:v>IR Deck에 넣을 결과와 시나리오 범위 | Monetary outputs shown in KRW million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81" t="str">
        <x:v>Selected Scenario</x:v>
      </x:c>
      <x:c r="D5" s="81" t="str">
        <x:f>'Assumptions'!D6</x:f>
        <x:v>Base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1"/>
      <x:c r="B8" s="1"/>
      <x:c r="C8" s="91" t="str">
        <x:v>Month 12 ARR</x:v>
      </x:c>
      <x:c r="D8" s="92"/>
      <x:c r="E8" s="1"/>
      <x:c r="F8" s="91" t="str">
        <x:v>Month 24 ARR</x:v>
      </x:c>
      <x:c r="G8" s="92"/>
      <x:c r="H8" s="1"/>
      <x:c r="I8" s="91" t="str">
        <x:v>Month 36 ARR</x:v>
      </x:c>
      <x:c r="J8" s="92"/>
      <x:c r="K8" s="1"/>
      <x:c r="L8" s="91" t="str">
        <x:v>Month 36 Gross Margin</x:v>
      </x:c>
      <x:c r="M8" s="92"/>
      <x:c r="N8" s="1"/>
    </x:row>
    <x:row r="9">
      <x:c r="A9" s="1"/>
      <x:c r="B9" s="1"/>
      <x:c r="C9" s="96" t="n">
        <x:f>'Revenue Model'!N14*12</x:f>
        <x:v>1556002093.8733902</x:v>
      </x:c>
      <x:c r="D9" s="94"/>
      <x:c r="E9" s="1"/>
      <x:c r="F9" s="96" t="n">
        <x:f>'Revenue Model'!Z14*12</x:f>
        <x:v>2858673769.8249903</x:v>
      </x:c>
      <x:c r="G9" s="94"/>
      <x:c r="H9" s="1"/>
      <x:c r="I9" s="96" t="n">
        <x:f>'Revenue Model'!AL14*12</x:f>
        <x:v>3820043311.8325014</x:v>
      </x:c>
      <x:c r="J9" s="94"/>
      <x:c r="K9" s="1"/>
      <x:c r="L9" s="97" t="n">
        <x:f>'Revenue Model'!AL23</x:f>
        <x:v>0.8679830588235294</x:v>
      </x:c>
      <x:c r="M9" s="94"/>
      <x:c r="N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1"/>
      <x:c r="B11" s="1"/>
      <x:c r="C11" s="91" t="str">
        <x:v>Ending Cash</x:v>
      </x:c>
      <x:c r="D11" s="92"/>
      <x:c r="E11" s="1"/>
      <x:c r="F11" s="91" t="str">
        <x:v>Minimum Cash</x:v>
      </x:c>
      <x:c r="G11" s="92"/>
      <x:c r="H11" s="1"/>
      <x:c r="I11" s="91" t="str">
        <x:v>Peak Monthly Burn</x:v>
      </x:c>
      <x:c r="J11" s="92"/>
      <x:c r="K11" s="1"/>
      <x:c r="L11" s="108" t="str">
        <x:v>Additional Funding Gap</x:v>
      </x:c>
      <x:c r="M11" s="109"/>
      <x:c r="N11" s="1"/>
    </x:row>
    <x:row r="12">
      <x:c r="A12" s="1"/>
      <x:c r="B12" s="1"/>
      <x:c r="C12" s="96" t="n">
        <x:f>'Revenue Model'!AL30</x:f>
        <x:v>4429109168.411101</x:v>
      </x:c>
      <x:c r="D12" s="94"/>
      <x:c r="E12" s="1"/>
      <x:c r="F12" s="96" t="n">
        <x:f>MIN('Revenue Model'!C30:AL30)</x:f>
        <x:v>1603712720.8028338</x:v>
      </x:c>
      <x:c r="G12" s="94"/>
      <x:c r="H12" s="1"/>
      <x:c r="I12" s="96" t="n">
        <x:f>MAX('Revenue Model'!C31:AL31)</x:f>
        <x:v>69485294.99700001</x:v>
      </x:c>
      <x:c r="J12" s="94"/>
      <x:c r="K12" s="1"/>
      <x:c r="L12" s="113" t="n">
        <x:f>MAX(0,-MIN('Revenue Model'!C30:AL30))</x:f>
        <x:v>0</x:v>
      </x:c>
      <x:c r="M12" s="111"/>
      <x:c r="N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3" t="str">
        <x:v>Scenario Comparison</x:v>
      </x:c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</x:row>
    <x:row r="16">
      <x:c r="A16" s="1"/>
      <x:c r="B16" s="1"/>
      <x:c r="C16" s="30" t="str">
        <x:v>Scenario</x:v>
      </x:c>
      <x:c r="D16" s="30" t="str">
        <x:v>Year 1 Revenue</x:v>
      </x:c>
      <x:c r="E16" s="30" t="str">
        <x:v>Year 2 Revenue</x:v>
      </x:c>
      <x:c r="F16" s="30" t="str">
        <x:v>Year 3 Revenue</x:v>
      </x:c>
      <x:c r="G16" s="30" t="str">
        <x:v>Month 36 ARR</x:v>
      </x:c>
      <x:c r="H16" s="30" t="str">
        <x:v>Month 36 GM</x:v>
      </x:c>
      <x:c r="I16" s="30" t="str">
        <x:v>Ending Cash</x:v>
      </x:c>
      <x:c r="J16" s="30" t="str">
        <x:v>Minimum Cash</x:v>
      </x:c>
      <x:c r="K16" s="30" t="str">
        <x:v>Funding Gap</x:v>
      </x:c>
      <x:c r="L16" s="1"/>
      <x:c r="M16" s="1"/>
      <x:c r="N16" s="1"/>
    </x:row>
    <x:row r="17">
      <x:c r="A17" s="1"/>
      <x:c r="B17" s="1"/>
      <x:c r="C17" s="118" t="str">
        <x:v>Downside</x:v>
      </x:c>
      <x:c r="D17" s="114" t="n">
        <x:f>SUM('Revenue Model'!C44:N44)</x:f>
        <x:v>143955907.88477755</x:v>
      </x:c>
      <x:c r="E17" s="114" t="n">
        <x:f>SUM('Revenue Model'!O44:Z44)</x:f>
        <x:v>179599798.58944815</x:v>
      </x:c>
      <x:c r="F17" s="114" t="n">
        <x:f>SUM('Revenue Model'!AA44:AL44)</x:f>
        <x:v>202992207.25107172</x:v>
      </x:c>
      <x:c r="G17" s="114" t="n">
        <x:f>'Revenue Model'!AL44*12</x:f>
        <x:v>210726043.13735148</x:v>
      </x:c>
      <x:c r="H17" s="115" t="n">
        <x:f>'Revenue Model'!AL47</x:f>
        <x:v>0.778137</x:v>
      </x:c>
      <x:c r="I17" s="114" t="n">
        <x:f>'Revenue Model'!AL53</x:f>
        <x:v>-650273586.0575378</x:v>
      </x:c>
      <x:c r="J17" s="114" t="n">
        <x:f>MIN('Revenue Model'!C53:AL53)</x:f>
        <x:v>-650273586.0575378</x:v>
      </x:c>
      <x:c r="K17" s="114" t="n">
        <x:f>MAX(0,-MIN('Revenue Model'!C53:AL53))</x:f>
        <x:v>650273586.0575378</x:v>
      </x:c>
      <x:c r="L17" s="1"/>
      <x:c r="M17" s="1"/>
      <x:c r="N17" s="1"/>
    </x:row>
    <x:row r="18">
      <x:c r="A18" s="1"/>
      <x:c r="B18" s="1"/>
      <x:c r="C18" s="119" t="str">
        <x:v>Base</x:v>
      </x:c>
      <x:c r="D18" s="116" t="n">
        <x:f>SUM('Revenue Model'!C60:N60)</x:f>
        <x:v>833493194.9114814</x:v>
      </x:c>
      <x:c r="E18" s="116" t="n">
        <x:f>SUM('Revenue Model'!O60:Z60)</x:f>
        <x:v>2294317053.1573057</x:v>
      </x:c>
      <x:c r="F18" s="116" t="n">
        <x:f>SUM('Revenue Model'!AA60:AL60)</x:f>
        <x:v>3403548988.47559</x:v>
      </x:c>
      <x:c r="G18" s="116" t="n">
        <x:f>'Revenue Model'!AL60*12</x:f>
        <x:v>3820043311.8325014</x:v>
      </x:c>
      <x:c r="H18" s="117" t="n">
        <x:f>'Revenue Model'!AL63</x:f>
        <x:v>0.8679830588235294</x:v>
      </x:c>
      <x:c r="I18" s="116" t="n">
        <x:f>'Revenue Model'!AL69</x:f>
        <x:v>4429109168.411101</x:v>
      </x:c>
      <x:c r="J18" s="116" t="n">
        <x:f>MIN('Revenue Model'!C69:AL69)</x:f>
        <x:v>1603712720.8028338</x:v>
      </x:c>
      <x:c r="K18" s="116" t="n">
        <x:f>MAX(0,-MIN('Revenue Model'!C69:AL69))</x:f>
        <x:v>0</x:v>
      </x:c>
      <x:c r="L18" s="1"/>
      <x:c r="M18" s="1"/>
      <x:c r="N18" s="1"/>
    </x:row>
    <x:row r="19">
      <x:c r="A19" s="1"/>
      <x:c r="B19" s="1"/>
      <x:c r="C19" s="118" t="str">
        <x:v>Upside</x:v>
      </x:c>
      <x:c r="D19" s="114" t="n">
        <x:f>SUM('Revenue Model'!C76:N76)</x:f>
        <x:v>3759568632.62478</x:v>
      </x:c>
      <x:c r="E19" s="114" t="n">
        <x:f>SUM('Revenue Model'!O76:Z76)</x:f>
        <x:v>12974637942.726353</x:v>
      </x:c>
      <x:c r="F19" s="114" t="n">
        <x:f>SUM('Revenue Model'!AA76:AL76)</x:f>
        <x:v>20854258840.420326</x:v>
      </x:c>
      <x:c r="G19" s="114" t="n">
        <x:f>'Revenue Model'!AL76*12</x:f>
        <x:v>24064544391.02655</x:v>
      </x:c>
      <x:c r="H19" s="115" t="n">
        <x:f>'Revenue Model'!AL79</x:f>
        <x:v>0.9135718666666667</x:v>
      </x:c>
      <x:c r="I19" s="114" t="n">
        <x:f>'Revenue Model'!AL85</x:f>
        <x:v>32379764515.021763</x:v>
      </x:c>
      <x:c r="J19" s="114" t="n">
        <x:f>MIN('Revenue Model'!C85:AL85)</x:f>
        <x:v>1787434166.5090947</x:v>
      </x:c>
      <x:c r="K19" s="114" t="n">
        <x:f>MAX(0,-MIN('Revenue Model'!C85:AL85))</x:f>
        <x:v>0</x:v>
      </x:c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3" t="str">
        <x:v>36-Month Revenue Range</x:v>
      </x:c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</x:row>
    <x:row r="24">
      <x:c r="A24" s="1"/>
      <x:c r="B24" s="1"/>
      <x:c r="C24" s="30" t="str">
        <x:v>Month</x:v>
      </x:c>
      <x:c r="D24" s="30" t="str">
        <x:v>Downside</x:v>
      </x:c>
      <x:c r="E24" s="30" t="str">
        <x:v>Base</x:v>
      </x:c>
      <x:c r="F24" s="30" t="str">
        <x:v>Upside</x:v>
      </x:c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6" t="str">
        <x:v>Sep 26</x:v>
      </x:c>
      <x:c r="D25" s="114" t="n">
        <x:f>'Revenue Model'!C44</x:f>
        <x:v>11520000</x:v>
      </x:c>
      <x:c r="E25" s="114" t="n">
        <x:f>'Revenue Model'!C60</x:f>
        <x:v>24862500</x:v>
      </x:c>
      <x:c r="F25" s="114" t="n">
        <x:f>'Revenue Model'!C76</x:f>
        <x:v>44325000</x:v>
      </x:c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6" t="str">
        <x:v>Oct 26</x:v>
      </x:c>
      <x:c r="D26" s="114" t="n">
        <x:f>'Revenue Model'!D44</x:f>
        <x:v>11059199.999999998</x:v>
      </x:c>
      <x:c r="E26" s="114" t="n">
        <x:f>'Revenue Model'!D60</x:f>
        <x:v>24240937.499999996</x:v>
      </x:c>
      <x:c r="F26" s="114" t="n">
        <x:f>'Revenue Model'!D76</x:f>
        <x:v>43660125</x:v>
      </x:c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6" t="str">
        <x:v>Nov 26</x:v>
      </x:c>
      <x:c r="D27" s="114" t="n">
        <x:f>'Revenue Model'!E44</x:f>
        <x:v>10616831.999999998</x:v>
      </x:c>
      <x:c r="E27" s="114" t="n">
        <x:f>'Revenue Model'!E60</x:f>
        <x:v>23634914.0625</x:v>
      </x:c>
      <x:c r="F27" s="114" t="n">
        <x:f>'Revenue Model'!E76</x:f>
        <x:v>43005223.12499999</x:v>
      </x:c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6" t="str">
        <x:v>Dec 26</x:v>
      </x:c>
      <x:c r="D28" s="114" t="n">
        <x:f>'Revenue Model'!F44</x:f>
        <x:v>10992158.719999999</x:v>
      </x:c>
      <x:c r="E28" s="114" t="n">
        <x:f>'Revenue Model'!F60</x:f>
        <x:v>36644041.2109375</x:v>
      </x:c>
      <x:c r="F28" s="114" t="n">
        <x:f>'Revenue Model'!F76</x:f>
        <x:v>117960144.778125</x:v>
      </x:c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6" t="str">
        <x:v>Jan 27</x:v>
      </x:c>
      <x:c r="D29" s="114" t="n">
        <x:f>'Revenue Model'!G44</x:f>
        <x:v>11352472.371199999</x:v>
      </x:c>
      <x:c r="E29" s="114" t="n">
        <x:f>'Revenue Model'!G60</x:f>
        <x:v>49327940.18066407</x:v>
      </x:c>
      <x:c r="F29" s="114" t="n">
        <x:f>'Revenue Model'!G76</x:f>
        <x:v>191790742.60645312</x:v>
      </x:c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6" t="str">
        <x:v>Feb 27</x:v>
      </x:c>
      <x:c r="D30" s="114" t="n">
        <x:f>'Revenue Model'!H44</x:f>
        <x:v>11698373.476352</x:v>
      </x:c>
      <x:c r="E30" s="114" t="n">
        <x:f>'Revenue Model'!H60</x:f>
        <x:v>61694741.67614747</x:v>
      </x:c>
      <x:c r="F30" s="114" t="n">
        <x:f>'Revenue Model'!H76</x:f>
        <x:v>264513881.46735632</x:v>
      </x:c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6" t="str">
        <x:v>Mar 27</x:v>
      </x:c>
      <x:c r="D31" s="114" t="n">
        <x:f>'Revenue Model'!I44</x:f>
        <x:v>12030438.53729792</x:v>
      </x:c>
      <x:c r="E31" s="114" t="n">
        <x:f>'Revenue Model'!I60</x:f>
        <x:v>73752373.13424377</x:v>
      </x:c>
      <x:c r="F31" s="114" t="n">
        <x:f>'Revenue Model'!I76</x:f>
        <x:v>336146173.24534607</x:v>
      </x:c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6" t="str">
        <x:v>Apr 27</x:v>
      </x:c>
      <x:c r="D32" s="114" t="n">
        <x:f>'Revenue Model'!J44</x:f>
        <x:v>12349220.995806003</x:v>
      </x:c>
      <x:c r="E32" s="114" t="n">
        <x:f>'Revenue Model'!J60</x:f>
        <x:v>85508563.80588768</x:v>
      </x:c>
      <x:c r="F32" s="114" t="n">
        <x:f>'Revenue Model'!J76</x:f>
        <x:v>406703980.6466659</x:v>
      </x:c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6" t="str">
        <x:v>May 27</x:v>
      </x:c>
      <x:c r="D33" s="114" t="n">
        <x:f>'Revenue Model'!K44</x:f>
        <x:v>12655252.155973764</x:v>
      </x:c>
      <x:c r="E33" s="114" t="n">
        <x:f>'Revenue Model'!K60</x:f>
        <x:v>96970849.71074048</x:v>
      </x:c>
      <x:c r="F33" s="114" t="n">
        <x:f>'Revenue Model'!K76</x:f>
        <x:v>476203420.9369659</x:v>
      </x:c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6" t="str">
        <x:v>Jun 27</x:v>
      </x:c>
      <x:c r="D34" s="114" t="n">
        <x:f>'Revenue Model'!L44</x:f>
        <x:v>12949042.069734814</x:v>
      </x:c>
      <x:c r="E34" s="114" t="n">
        <x:f>'Revenue Model'!L60</x:f>
        <x:v>108146578.46797197</x:v>
      </x:c>
      <x:c r="F34" s="114" t="n">
        <x:f>'Revenue Model'!L76</x:f>
        <x:v>544660369.6229115</x:v>
      </x:c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6" t="str">
        <x:v>Jul 27</x:v>
      </x:c>
      <x:c r="D35" s="114" t="n">
        <x:f>'Revenue Model'!M44</x:f>
        <x:v>13231080.386945423</x:v>
      </x:c>
      <x:c r="E35" s="114" t="n">
        <x:f>'Revenue Model'!M60</x:f>
        <x:v>119042914.00627266</x:v>
      </x:c>
      <x:c r="F35" s="114" t="n">
        <x:f>'Revenue Model'!M76</x:f>
        <x:v>612090464.0785677</x:v>
      </x:c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6" t="str">
        <x:v>Aug 27</x:v>
      </x:c>
      <x:c r="D36" s="114" t="n">
        <x:f>'Revenue Model'!N44</x:f>
        <x:v>13501837.171467606</x:v>
      </x:c>
      <x:c r="E36" s="114" t="n">
        <x:f>'Revenue Model'!N60</x:f>
        <x:v>129666841.15611583</x:v>
      </x:c>
      <x:c r="F36" s="114" t="n">
        <x:f>'Revenue Model'!N76</x:f>
        <x:v>678509107.1173892</x:v>
      </x:c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6" t="str">
        <x:v>Sep 27</x:v>
      </x:c>
      <x:c r="D37" s="114" t="n">
        <x:f>'Revenue Model'!O44</x:f>
        <x:v>13761763.684608903</x:v>
      </x:c>
      <x:c r="E37" s="114" t="n">
        <x:f>'Revenue Model'!O60</x:f>
        <x:v>140025170.12721297</x:v>
      </x:c>
      <x:c r="F37" s="114" t="n">
        <x:f>'Revenue Model'!O76</x:f>
        <x:v>743931470.5106283</x:v>
      </x:c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6" t="str">
        <x:v>Oct 27</x:v>
      </x:c>
      <x:c r="D38" s="114" t="n">
        <x:f>'Revenue Model'!P44</x:f>
        <x:v>14011293.137224548</x:v>
      </x:c>
      <x:c r="E38" s="114" t="n">
        <x:f>'Revenue Model'!P60</x:f>
        <x:v>150124540.87403265</x:v>
      </x:c>
      <x:c r="F38" s="114" t="n">
        <x:f>'Revenue Model'!P76</x:f>
        <x:v>808372498.4529688</x:v>
      </x:c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6" t="str">
        <x:v>Nov 27</x:v>
      </x:c>
      <x:c r="D39" s="114" t="n">
        <x:f>'Revenue Model'!Q44</x:f>
        <x:v>14250841.411735568</x:v>
      </x:c>
      <x:c r="E39" s="114" t="n">
        <x:f>'Revenue Model'!Q60</x:f>
        <x:v>159971427.35218185</x:v>
      </x:c>
      <x:c r="F39" s="114" t="n">
        <x:f>'Revenue Model'!Q76</x:f>
        <x:v>871846910.9761742</x:v>
      </x:c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6" t="str">
        <x:v>Dec 27</x:v>
      </x:c>
      <x:c r="D40" s="114" t="n">
        <x:f>'Revenue Model'!R44</x:f>
        <x:v>14480807.755266145</x:v>
      </x:c>
      <x:c r="E40" s="114" t="n">
        <x:f>'Revenue Model'!R60</x:f>
        <x:v>169572141.66837734</x:v>
      </x:c>
      <x:c r="F40" s="114" t="n">
        <x:f>'Revenue Model'!R76</x:f>
        <x:v>934369207.3115317</x:v>
      </x:c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6" t="str">
        <x:v>Jan 28</x:v>
      </x:c>
      <x:c r="D41" s="114" t="n">
        <x:f>'Revenue Model'!S44</x:f>
        <x:v>14701575.4450555</x:v>
      </x:c>
      <x:c r="E41" s="114" t="n">
        <x:f>'Revenue Model'!S60</x:f>
        <x:v>178932838.12666792</x:v>
      </x:c>
      <x:c r="F41" s="114" t="n">
        <x:f>'Revenue Model'!S76</x:f>
        <x:v>995953669.2018588</x:v>
      </x:c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6" t="str">
        <x:v>Feb 28</x:v>
      </x:c>
      <x:c r="D42" s="114" t="n">
        <x:f>'Revenue Model'!T44</x:f>
        <x:v>14913512.42725328</x:v>
      </x:c>
      <x:c r="E42" s="114" t="n">
        <x:f>'Revenue Model'!T60</x:f>
        <x:v>188059517.17350122</x:v>
      </x:c>
      <x:c r="F42" s="114" t="n">
        <x:f>'Revenue Model'!T76</x:f>
        <x:v>1056614364.163831</x:v>
      </x:c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6" t="str">
        <x:v>Mar 28</x:v>
      </x:c>
      <x:c r="D43" s="114" t="n">
        <x:f>'Revenue Model'!U44</x:f>
        <x:v>15116971.930163149</x:v>
      </x:c>
      <x:c r="E43" s="114" t="n">
        <x:f>'Revenue Model'!U60</x:f>
        <x:v>196958029.24416372</x:v>
      </x:c>
      <x:c r="F43" s="114" t="n">
        <x:f>'Revenue Model'!U76</x:f>
        <x:v>1116365148.7013736</x:v>
      </x:c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6" t="str">
        <x:v>Apr 28</x:v>
      </x:c>
      <x:c r="D44" s="114" t="n">
        <x:f>'Revenue Model'!V44</x:f>
        <x:v>15312293.052956624</x:v>
      </x:c>
      <x:c r="E44" s="114" t="n">
        <x:f>'Revenue Model'!V60</x:f>
        <x:v>205634078.51305962</x:v>
      </x:c>
      <x:c r="F44" s="114" t="n">
        <x:f>'Revenue Model'!V76</x:f>
        <x:v>1175219671.470853</x:v>
      </x:c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6" t="str">
        <x:v>May 28</x:v>
      </x:c>
      <x:c r="D45" s="114" t="n">
        <x:f>'Revenue Model'!W44</x:f>
        <x:v>15499801.33083836</x:v>
      </x:c>
      <x:c r="E45" s="114" t="n">
        <x:f>'Revenue Model'!W60</x:f>
        <x:v>214093226.55023316</x:v>
      </x:c>
      <x:c r="F45" s="114" t="n">
        <x:f>'Revenue Model'!W76</x:f>
        <x:v>1233191376.3987904</x:v>
      </x:c>
      <x:c r="G45" s="1"/>
      <x:c r="H45" s="1"/>
      <x:c r="I45" s="1"/>
      <x:c r="J45" s="1"/>
      <x:c r="K45" s="1"/>
      <x:c r="L45" s="1"/>
      <x:c r="M45" s="1"/>
      <x:c r="N45" s="1"/>
    </x:row>
    <x:row r="46">
      <x:c r="A46" s="1"/>
      <x:c r="B46" s="1"/>
      <x:c r="C46" s="16" t="str">
        <x:v>Jun 28</x:v>
      </x:c>
      <x:c r="D46" s="114" t="n">
        <x:f>'Revenue Model'!X44</x:f>
        <x:v>15679809.277604826</x:v>
      </x:c>
      <x:c r="E46" s="114" t="n">
        <x:f>'Revenue Model'!X60</x:f>
        <x:v>222340895.88647735</x:v>
      </x:c>
      <x:c r="F46" s="114" t="n">
        <x:f>'Revenue Model'!X76</x:f>
        <x:v>1290293505.7528086</x:v>
      </x:c>
      <x:c r="G46" s="1"/>
      <x:c r="H46" s="1"/>
      <x:c r="I46" s="1"/>
      <x:c r="J46" s="1"/>
      <x:c r="K46" s="1"/>
      <x:c r="L46" s="1"/>
      <x:c r="M46" s="1"/>
      <x:c r="N46" s="1"/>
    </x:row>
    <x:row r="47">
      <x:c r="A47" s="1"/>
      <x:c r="B47" s="1"/>
      <x:c r="C47" s="16" t="str">
        <x:v>Jul 28</x:v>
      </x:c>
      <x:c r="D47" s="114" t="n">
        <x:f>'Revenue Model'!Y44</x:f>
        <x:v>15852616.906500632</x:v>
      </x:c>
      <x:c r="E47" s="114" t="n">
        <x:f>'Revenue Model'!Y60</x:f>
        <x:v>230382373.48931542</x:v>
      </x:c>
      <x:c r="F47" s="114" t="n">
        <x:f>'Revenue Model'!Y76</x:f>
        <x:v>1346539103.1665163</x:v>
      </x:c>
      <x:c r="G47" s="1"/>
      <x:c r="H47" s="1"/>
      <x:c r="I47" s="1"/>
      <x:c r="J47" s="1"/>
      <x:c r="K47" s="1"/>
      <x:c r="L47" s="1"/>
      <x:c r="M47" s="1"/>
      <x:c r="N47" s="1"/>
    </x:row>
    <x:row r="48">
      <x:c r="A48" s="1"/>
      <x:c r="B48" s="1"/>
      <x:c r="C48" s="16" t="str">
        <x:v>Aug 28</x:v>
      </x:c>
      <x:c r="D48" s="114" t="n">
        <x:f>'Revenue Model'!Z44</x:f>
        <x:v>16018512.230240606</x:v>
      </x:c>
      <x:c r="E48" s="114" t="n">
        <x:f>'Revenue Model'!Z60</x:f>
        <x:v>238222814.15208253</x:v>
      </x:c>
      <x:c r="F48" s="114" t="n">
        <x:f>'Revenue Model'!Z76</x:f>
        <x:v>1401941016.6190188</x:v>
      </x:c>
      <x:c r="G48" s="1"/>
      <x:c r="H48" s="1"/>
      <x:c r="I48" s="1"/>
      <x:c r="J48" s="1"/>
      <x:c r="K48" s="1"/>
      <x:c r="L48" s="1"/>
      <x:c r="M48" s="1"/>
      <x:c r="N48" s="1"/>
    </x:row>
    <x:row r="49">
      <x:c r="A49" s="1"/>
      <x:c r="B49" s="1"/>
      <x:c r="C49" s="16" t="str">
        <x:v>Sep 28</x:v>
      </x:c>
      <x:c r="D49" s="114" t="n">
        <x:f>'Revenue Model'!AA44</x:f>
        <x:v>16177771.741030984</x:v>
      </x:c>
      <x:c r="E49" s="114" t="n">
        <x:f>'Revenue Model'!AA60</x:f>
        <x:v>245867243.79828048</x:v>
      </x:c>
      <x:c r="F49" s="114" t="n">
        <x:f>'Revenue Model'!AA76</x:f>
        <x:v>1456511901.3697336</x:v>
      </x:c>
      <x:c r="G49" s="1"/>
      <x:c r="H49" s="1"/>
      <x:c r="I49" s="1"/>
      <x:c r="J49" s="1"/>
      <x:c r="K49" s="1"/>
      <x:c r="L49" s="1"/>
      <x:c r="M49" s="1"/>
      <x:c r="N49" s="1"/>
    </x:row>
    <x:row r="50">
      <x:c r="A50" s="1"/>
      <x:c r="B50" s="1"/>
      <x:c r="C50" s="16" t="str">
        <x:v>Oct 28</x:v>
      </x:c>
      <x:c r="D50" s="114" t="n">
        <x:f>'Revenue Model'!AB44</x:f>
        <x:v>16330660.871389747</x:v>
      </x:c>
      <x:c r="E50" s="114" t="n">
        <x:f>'Revenue Model'!AB60</x:f>
        <x:v>253320562.70332345</x:v>
      </x:c>
      <x:c r="F50" s="114" t="n">
        <x:f>'Revenue Model'!AB76</x:f>
        <x:v>1510264222.8491876</x:v>
      </x:c>
      <x:c r="G50" s="1"/>
      <x:c r="H50" s="1"/>
      <x:c r="I50" s="1"/>
      <x:c r="J50" s="1"/>
      <x:c r="K50" s="1"/>
      <x:c r="L50" s="1"/>
      <x:c r="M50" s="1"/>
      <x:c r="N50" s="1"/>
    </x:row>
    <x:row r="51">
      <x:c r="A51" s="1"/>
      <x:c r="B51" s="1"/>
      <x:c r="C51" s="16" t="str">
        <x:v>Nov 28</x:v>
      </x:c>
      <x:c r="D51" s="114" t="n">
        <x:f>'Revenue Model'!AC44</x:f>
        <x:v>16477434.436534157</x:v>
      </x:c>
      <x:c r="E51" s="114" t="n">
        <x:f>'Revenue Model'!AC60</x:f>
        <x:v>260587548.63574037</x:v>
      </x:c>
      <x:c r="F51" s="114" t="n">
        <x:f>'Revenue Model'!AC76</x:f>
        <x:v>1563210259.5064497</x:v>
      </x:c>
      <x:c r="G51" s="1"/>
      <x:c r="H51" s="1"/>
      <x:c r="I51" s="1"/>
      <x:c r="J51" s="1"/>
      <x:c r="K51" s="1"/>
      <x:c r="L51" s="1"/>
      <x:c r="M51" s="1"/>
      <x:c r="N51" s="1"/>
    </x:row>
    <x:row r="52">
      <x:c r="A52" s="1"/>
      <x:c r="B52" s="1"/>
      <x:c r="C52" s="16" t="str">
        <x:v>Dec 28</x:v>
      </x:c>
      <x:c r="D52" s="114" t="n">
        <x:f>'Revenue Model'!AD44</x:f>
        <x:v>16618337.059072789</x:v>
      </x:c>
      <x:c r="E52" s="114" t="n">
        <x:f>'Revenue Model'!AD60</x:f>
        <x:v>267672859.91984683</x:v>
      </x:c>
      <x:c r="F52" s="114" t="n">
        <x:f>'Revenue Model'!AD76</x:f>
        <x:v>1615362105.6138532</x:v>
      </x:c>
      <x:c r="G52" s="1"/>
      <x:c r="H52" s="1"/>
      <x:c r="I52" s="1"/>
      <x:c r="J52" s="1"/>
      <x:c r="K52" s="1"/>
      <x:c r="L52" s="1"/>
      <x:c r="M52" s="1"/>
      <x:c r="N52" s="1"/>
    </x:row>
    <x:row r="53">
      <x:c r="A53" s="1"/>
      <x:c r="B53" s="1"/>
      <x:c r="C53" s="16" t="str">
        <x:v>Jan 29</x:v>
      </x:c>
      <x:c r="D53" s="114" t="n">
        <x:f>'Revenue Model'!AE44</x:f>
        <x:v>16753603.576709878</x:v>
      </x:c>
      <x:c r="E53" s="114" t="n">
        <x:f>'Revenue Model'!AE60</x:f>
        <x:v>274581038.4218506</x:v>
      </x:c>
      <x:c r="F53" s="114" t="n">
        <x:f>'Revenue Model'!AE76</x:f>
        <x:v>1666731674.0296454</x:v>
      </x:c>
      <x:c r="G53" s="1"/>
      <x:c r="H53" s="1"/>
      <x:c r="I53" s="1"/>
      <x:c r="J53" s="1"/>
      <x:c r="K53" s="1"/>
      <x:c r="L53" s="1"/>
      <x:c r="M53" s="1"/>
      <x:c r="N53" s="1"/>
    </x:row>
    <x:row r="54">
      <x:c r="A54" s="1"/>
      <x:c r="B54" s="1"/>
      <x:c r="C54" s="16" t="str">
        <x:v>Feb 29</x:v>
      </x:c>
      <x:c r="D54" s="114" t="n">
        <x:f>'Revenue Model'!AF44</x:f>
        <x:v>16883459.433641482</x:v>
      </x:c>
      <x:c r="E54" s="114" t="n">
        <x:f>'Revenue Model'!AF60</x:f>
        <x:v>281316512.46130437</x:v>
      </x:c>
      <x:c r="F54" s="114" t="n">
        <x:f>'Revenue Model'!AF76</x:f>
        <x:v>1717330698.919201</x:v>
      </x:c>
      <x:c r="G54" s="1"/>
      <x:c r="H54" s="1"/>
      <x:c r="I54" s="1"/>
      <x:c r="J54" s="1"/>
      <x:c r="K54" s="1"/>
      <x:c r="L54" s="1"/>
      <x:c r="M54" s="1"/>
      <x:c r="N54" s="1"/>
    </x:row>
    <x:row r="55">
      <x:c r="A55" s="1"/>
      <x:c r="B55" s="1"/>
      <x:c r="C55" s="16" t="str">
        <x:v>Mar 29</x:v>
      </x:c>
      <x:c r="D55" s="114" t="n">
        <x:f>'Revenue Model'!AG44</x:f>
        <x:v>17008121.056295823</x:v>
      </x:c>
      <x:c r="E55" s="114" t="n">
        <x:f>'Revenue Model'!AG60</x:f>
        <x:v>287883599.6497718</x:v>
      </x:c>
      <x:c r="F55" s="114" t="n">
        <x:f>'Revenue Model'!AG76</x:f>
        <x:v>1767170738.435413</x:v>
      </x:c>
      <x:c r="G55" s="1"/>
      <x:c r="H55" s="1"/>
      <x:c r="I55" s="1"/>
      <x:c r="J55" s="1"/>
      <x:c r="K55" s="1"/>
      <x:c r="L55" s="1"/>
      <x:c r="M55" s="1"/>
      <x:c r="N55" s="1"/>
    </x:row>
    <x:row r="56">
      <x:c r="A56" s="1"/>
      <x:c r="B56" s="1"/>
      <x:c r="C56" s="16" t="str">
        <x:v>Apr 29</x:v>
      </x:c>
      <x:c r="D56" s="114" t="n">
        <x:f>'Revenue Model'!AH44</x:f>
        <x:v>17127796.214043994</x:v>
      </x:c>
      <x:c r="E56" s="114" t="n">
        <x:f>'Revenue Model'!AH60</x:f>
        <x:v>294286509.6585275</x:v>
      </x:c>
      <x:c r="F56" s="114" t="n">
        <x:f>'Revenue Model'!AH76</x:f>
        <x:v>1816263177.358882</x:v>
      </x:c>
      <x:c r="G56" s="1"/>
      <x:c r="H56" s="1"/>
      <x:c r="I56" s="1"/>
      <x:c r="J56" s="1"/>
      <x:c r="K56" s="1"/>
      <x:c r="L56" s="1"/>
      <x:c r="M56" s="1"/>
      <x:c r="N56" s="1"/>
    </x:row>
    <x:row r="57">
      <x:c r="A57" s="1"/>
      <x:c r="B57" s="1"/>
      <x:c r="C57" s="16" t="str">
        <x:v>May 29</x:v>
      </x:c>
      <x:c r="D57" s="114" t="n">
        <x:f>'Revenue Model'!AI44</x:f>
        <x:v>17242684.365482233</x:v>
      </x:c>
      <x:c r="E57" s="114" t="n">
        <x:f>'Revenue Model'!AI60</x:f>
        <x:v>300529346.91706437</x:v>
      </x:c>
      <x:c r="F57" s="114" t="n">
        <x:f>'Revenue Model'!AI76</x:f>
        <x:v>1864619229.6984987</x:v>
      </x:c>
      <x:c r="G57" s="1"/>
      <x:c r="H57" s="1"/>
      <x:c r="I57" s="1"/>
      <x:c r="J57" s="1"/>
      <x:c r="K57" s="1"/>
      <x:c r="L57" s="1"/>
      <x:c r="M57" s="1"/>
      <x:c r="N57" s="1"/>
    </x:row>
    <x:row r="58">
      <x:c r="A58" s="1"/>
      <x:c r="B58" s="1"/>
      <x:c r="C58" s="16" t="str">
        <x:v>Jun 29</x:v>
      </x:c>
      <x:c r="D58" s="114" t="n">
        <x:f>'Revenue Model'!AJ44</x:f>
        <x:v>17352976.990862947</x:v>
      </x:c>
      <x:c r="E58" s="114" t="n">
        <x:f>'Revenue Model'!AJ60</x:f>
        <x:v>306616113.24413776</x:v>
      </x:c>
      <x:c r="F58" s="114" t="n">
        <x:f>'Revenue Model'!AJ76</x:f>
        <x:v>1912249941.253021</x:v>
      </x:c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6" t="str">
        <x:v>Jul 29</x:v>
      </x:c>
      <x:c r="D59" s="114" t="n">
        <x:f>'Revenue Model'!AK44</x:f>
        <x:v>17458857.91122843</x:v>
      </x:c>
      <x:c r="E59" s="114" t="n">
        <x:f>'Revenue Model'!AK60</x:f>
        <x:v>312550710.4130343</x:v>
      </x:c>
      <x:c r="F59" s="114" t="n">
        <x:f>'Revenue Model'!AK76</x:f>
        <x:v>1959166192.134226</x:v>
      </x:c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6" t="str">
        <x:v>Aug 29</x:v>
      </x:c>
      <x:c r="D60" s="114" t="n">
        <x:f>'Revenue Model'!AL44</x:f>
        <x:v>17560503.59477929</x:v>
      </x:c>
      <x:c r="E60" s="114" t="n">
        <x:f>'Revenue Model'!AL60</x:f>
        <x:v>318336942.6527085</x:v>
      </x:c>
      <x:c r="F60" s="114" t="n">
        <x:f>'Revenue Model'!AL76</x:f>
        <x:v>2005378699.2522125</x:v>
      </x:c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18" t="str">
        <x:v>IR Deck에서 보여줄 것</x:v>
      </x:c>
      <x:c r="D63" s="16" t="str">
        <x:v>핵심 드라이버 3-5개, 시나리오별 결과 범위, 투자금이 바꾸는 가정, 다음 이정표</x:v>
      </x:c>
      <x:c r="E63" s="16" t="str"/>
      <x:c r="F63" s="16" t="str"/>
      <x:c r="G63" s="16" t="str"/>
      <x:c r="H63" s="16" t="str"/>
      <x:c r="I63" s="16" t="str"/>
      <x:c r="J63" s="16" t="str"/>
      <x:c r="K63" s="16" t="str"/>
      <x:c r="L63" s="16" t="str"/>
      <x:c r="M63" s="16" t="str"/>
      <x:c r="N63" s="16" t="str"/>
    </x:row>
    <x:row r="64">
      <x:c r="A64" s="1"/>
      <x:c r="B64" s="1"/>
      <x:c r="C64" s="118" t="str">
        <x:v>IR Deck에서 숨길 것</x:v>
      </x:c>
      <x:c r="D64" s="16" t="str">
        <x:v>36개월 전체 표가 아니라 부록 또는 data deck으로 이동</x:v>
      </x:c>
      <x:c r="E64" s="16" t="str"/>
      <x:c r="F64" s="16" t="str"/>
      <x:c r="G64" s="16" t="str"/>
      <x:c r="H64" s="16" t="str"/>
      <x:c r="I64" s="16" t="str"/>
      <x:c r="J64" s="16" t="str"/>
      <x:c r="K64" s="16" t="str"/>
      <x:c r="L64" s="16" t="str"/>
      <x:c r="M64" s="16" t="str"/>
      <x:c r="N64" s="16" t="str"/>
    </x:row>
    <x:row r="65">
      <x:c r="A65" s="1"/>
      <x:c r="B65" s="1"/>
      <x:c r="C65" s="118" t="str">
        <x:v>검수 질문</x:v>
      </x:c>
      <x:c r="D65" s="16" t="str">
        <x:v>매출이 아니라 고객 수, 가격, 원가, 현금의 인과가 다시 계산되는가?</x:v>
      </x:c>
      <x:c r="E65" s="16" t="str"/>
      <x:c r="F65" s="16" t="str"/>
      <x:c r="G65" s="16" t="str"/>
      <x:c r="H65" s="16" t="str"/>
      <x:c r="I65" s="16" t="str"/>
      <x:c r="J65" s="16" t="str"/>
      <x:c r="K65" s="16" t="str"/>
      <x:c r="L65" s="16" t="str"/>
      <x:c r="M65" s="16" t="str"/>
      <x:c r="N65" s="16" t="str"/>
    </x:row>
  </x:sheetData>
  <x:mergeCells>
    <x:mergeCell ref="C2:N2"/>
    <x:mergeCell ref="C3:N3"/>
    <x:mergeCell ref="C8:D8"/>
    <x:mergeCell ref="C9:D9"/>
    <x:mergeCell ref="F8:G8"/>
    <x:mergeCell ref="F9:G9"/>
    <x:mergeCell ref="I8:J8"/>
    <x:mergeCell ref="I9:J9"/>
    <x:mergeCell ref="L8:M8"/>
    <x:mergeCell ref="L9:M9"/>
    <x:mergeCell ref="C11:D11"/>
    <x:mergeCell ref="C12:D12"/>
    <x:mergeCell ref="F11:G11"/>
    <x:mergeCell ref="F12:G12"/>
    <x:mergeCell ref="I11:J11"/>
    <x:mergeCell ref="I12:J12"/>
    <x:mergeCell ref="L11:M11"/>
    <x:mergeCell ref="L12:M12"/>
    <x:mergeCell ref="C15:N15"/>
    <x:mergeCell ref="C23:N23"/>
  </x:mergeCells>
  <x:pageMargins left="0.7" right="0.7" top="0.75" bottom="0.75" header="0.3" footer="0.3"/>
  <x:drawing xmlns:r="http://schemas.openxmlformats.org/officeDocument/2006/relationships" r:id="R2dd713882c6b40e6"/>
</x:worksheet>
</file>